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filterPrivacy="1" defaultThemeVersion="124226"/>
  <xr:revisionPtr revIDLastSave="0" documentId="13_ncr:1_{2FCDB196-4ADC-47E7-AB4A-29F585839865}" xr6:coauthVersionLast="47" xr6:coauthVersionMax="47" xr10:uidLastSave="{00000000-0000-0000-0000-000000000000}"/>
  <bookViews>
    <workbookView xWindow="-120" yWindow="-120" windowWidth="29040" windowHeight="15840" firstSheet="17" activeTab="22" xr2:uid="{00000000-000D-0000-FFFF-FFFF00000000}"/>
  </bookViews>
  <sheets>
    <sheet name="1.melléklet.Önkormányzat" sheetId="36" r:id="rId1"/>
    <sheet name="2.melléklet.Önkormányzat.és int" sheetId="22" r:id="rId2"/>
    <sheet name="3.mellékletPH.bev." sheetId="23" r:id="rId3"/>
    <sheet name="4 ESZI bev" sheetId="24" r:id="rId4"/>
    <sheet name="5. Óvoda bev" sheetId="25" r:id="rId5"/>
    <sheet name="6.melléklet.Kiadások.Önk." sheetId="26" r:id="rId6"/>
    <sheet name="7.PMH kiad" sheetId="27" r:id="rId7"/>
    <sheet name="8.ESZI kiad" sheetId="28" r:id="rId8"/>
    <sheet name="9. Óvoda kiad" sheetId="29" r:id="rId9"/>
    <sheet name="10.melléklet.létszám" sheetId="51" r:id="rId10"/>
    <sheet name="11.melléklet.Beruházás" sheetId="38" r:id="rId11"/>
    <sheet name="12.melléklet.Int.pénzellát." sheetId="39" r:id="rId12"/>
    <sheet name="13.melléklet.pénzeszköz át." sheetId="40" r:id="rId13"/>
    <sheet name="14.melléklet.ált.,céltartalék" sheetId="41" r:id="rId14"/>
    <sheet name="15. melléklet" sheetId="42" r:id="rId15"/>
    <sheet name="16.melléklet.több éves" sheetId="43" r:id="rId16"/>
    <sheet name="17.melléklet.felhaszn.ütemterve" sheetId="45" r:id="rId17"/>
    <sheet name="18.melléklet.EU-s" sheetId="46" r:id="rId18"/>
    <sheet name="19.melléklet.kedvezm." sheetId="47" r:id="rId19"/>
    <sheet name="20.melléklet.4.éves pénzforg." sheetId="48" r:id="rId20"/>
    <sheet name="21 melléklet" sheetId="52" r:id="rId21"/>
    <sheet name="22.melléklet.saját.bev" sheetId="49" r:id="rId22"/>
    <sheet name="23.melléklet.likv.terv" sheetId="50" r:id="rId23"/>
  </sheets>
  <externalReferences>
    <externalReference r:id="rId24"/>
  </externalReferences>
  <definedNames>
    <definedName name="_xlnm._FilterDatabase" localSheetId="1" hidden="1">'2.melléklet.Önkormányzat.és int'!$B$3:$AA$18</definedName>
    <definedName name="_xlnm.Print_Area" localSheetId="9">'10.melléklet.létszám'!$A$1:$I$17</definedName>
    <definedName name="_xlnm.Print_Area" localSheetId="10">'11.melléklet.Beruházás'!$A$1:$D$23</definedName>
    <definedName name="_xlnm.Print_Area" localSheetId="11">'12.melléklet.Int.pénzellát.'!$A$1:$D$13</definedName>
    <definedName name="_xlnm.Print_Area" localSheetId="12">'13.melléklet.pénzeszköz át.'!$A$1:$D$46</definedName>
    <definedName name="_xlnm.Print_Area" localSheetId="13">'14.melléklet.ált.,céltartalék'!$A$1:$D$23</definedName>
    <definedName name="_xlnm.Print_Area" localSheetId="14">'15. melléklet'!$A$1:$F$39</definedName>
    <definedName name="_xlnm.Print_Area" localSheetId="15">'16.melléklet.több éves'!$A$1:$H$13</definedName>
    <definedName name="_xlnm.Print_Area" localSheetId="16">'17.melléklet.felhaszn.ütemterve'!$A$1:$N$35</definedName>
    <definedName name="_xlnm.Print_Area" localSheetId="17">'18.melléklet.EU-s'!$A$1:$E$10</definedName>
    <definedName name="_xlnm.Print_Area" localSheetId="18">'19.melléklet.kedvezm.'!$A$1:$E$12</definedName>
    <definedName name="_xlnm.Print_Area" localSheetId="1">'2.melléklet.Önkormányzat.és int'!$A$1:$AC$39</definedName>
    <definedName name="_xlnm.Print_Area" localSheetId="19">'20.melléklet.4.éves pénzforg.'!$A$1:$G$37</definedName>
    <definedName name="_xlnm.Print_Area" localSheetId="20">'21 melléklet'!$A$1:$F$36</definedName>
    <definedName name="_xlnm.Print_Area" localSheetId="21">'22.melléklet.saját.bev'!$A$1:$F$17</definedName>
    <definedName name="_xlnm.Print_Area" localSheetId="22">'23.melléklet.likv.terv'!$B$1:$O$33</definedName>
    <definedName name="_xlnm.Print_Area" localSheetId="8">'9. Óvoda kiad'!$A$3:$Y$15</definedName>
    <definedName name="Verzió" localSheetId="0">#REF!</definedName>
    <definedName name="Verzió" localSheetId="2">#REF!</definedName>
    <definedName name="Verzió" localSheetId="3">#REF!</definedName>
    <definedName name="Verzió" localSheetId="4">#REF!</definedName>
    <definedName name="Verzió" localSheetId="5">#REF!</definedName>
    <definedName name="Verzió" localSheetId="6">#REF!</definedName>
    <definedName name="Verzió" localSheetId="7">#REF!</definedName>
    <definedName name="Verzió" localSheetId="8">#REF!</definedName>
    <definedName name="Verzió">#REF!</definedName>
  </definedNames>
  <calcPr calcId="181029"/>
</workbook>
</file>

<file path=xl/calcChain.xml><?xml version="1.0" encoding="utf-8"?>
<calcChain xmlns="http://schemas.openxmlformats.org/spreadsheetml/2006/main">
  <c r="V15" i="24" l="1"/>
  <c r="N30" i="45"/>
  <c r="AI58" i="26"/>
  <c r="O7" i="27"/>
  <c r="O9" i="29"/>
  <c r="S7" i="25"/>
  <c r="S7" i="24"/>
  <c r="S8" i="23"/>
  <c r="F11" i="52" l="1"/>
  <c r="E12" i="52"/>
  <c r="E36" i="52"/>
  <c r="D36" i="52"/>
  <c r="E21" i="52"/>
  <c r="D21" i="52"/>
  <c r="F13" i="52"/>
  <c r="D11" i="38" l="1"/>
  <c r="D19" i="38"/>
  <c r="O7" i="28"/>
  <c r="D12" i="48" l="1"/>
  <c r="C15" i="50"/>
  <c r="O29" i="50" l="1"/>
  <c r="E12" i="47"/>
  <c r="N31" i="45"/>
  <c r="C26" i="42"/>
  <c r="D17" i="41"/>
  <c r="C17" i="41"/>
  <c r="D20" i="41"/>
  <c r="D11" i="41"/>
  <c r="D12" i="41"/>
  <c r="D13" i="41"/>
  <c r="D10" i="41"/>
  <c r="C16" i="41"/>
  <c r="D26" i="40"/>
  <c r="D27" i="40"/>
  <c r="D25" i="40"/>
  <c r="D15" i="40"/>
  <c r="D16" i="40"/>
  <c r="D17" i="40"/>
  <c r="D18" i="40"/>
  <c r="D19" i="40"/>
  <c r="D20" i="40"/>
  <c r="D21" i="40"/>
  <c r="D22" i="40"/>
  <c r="D23" i="40"/>
  <c r="D14" i="40"/>
  <c r="D16" i="41" l="1"/>
  <c r="D20" i="38"/>
  <c r="C20" i="38"/>
  <c r="C10" i="38" l="1"/>
  <c r="D12" i="38"/>
  <c r="D10" i="36"/>
  <c r="D12" i="36"/>
  <c r="N33" i="22"/>
  <c r="N31" i="22" s="1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J55" i="26"/>
  <c r="L55" i="26"/>
  <c r="L68" i="26" s="1"/>
  <c r="N55" i="26"/>
  <c r="P55" i="26"/>
  <c r="P68" i="26" s="1"/>
  <c r="Q55" i="26"/>
  <c r="R55" i="26"/>
  <c r="R68" i="26" s="1"/>
  <c r="S55" i="26"/>
  <c r="T55" i="26"/>
  <c r="Z55" i="26"/>
  <c r="Z68" i="26" s="1"/>
  <c r="AB55" i="26"/>
  <c r="AB68" i="26" s="1"/>
  <c r="AF55" i="26"/>
  <c r="AF68" i="26" s="1"/>
  <c r="AJ55" i="26"/>
  <c r="AK55" i="26"/>
  <c r="J68" i="26"/>
  <c r="N68" i="26"/>
  <c r="Q68" i="26"/>
  <c r="S68" i="26"/>
  <c r="J14" i="29"/>
  <c r="K14" i="29"/>
  <c r="L14" i="29"/>
  <c r="M14" i="29"/>
  <c r="N14" i="29"/>
  <c r="P14" i="29"/>
  <c r="Q14" i="29"/>
  <c r="R14" i="29"/>
  <c r="S14" i="29"/>
  <c r="T14" i="29"/>
  <c r="U14" i="29"/>
  <c r="G23" i="22"/>
  <c r="G37" i="22" s="1"/>
  <c r="H23" i="22"/>
  <c r="I23" i="22"/>
  <c r="I37" i="22" s="1"/>
  <c r="J23" i="22"/>
  <c r="J37" i="22" s="1"/>
  <c r="K23" i="22"/>
  <c r="K37" i="22" s="1"/>
  <c r="L23" i="22"/>
  <c r="M23" i="22"/>
  <c r="M37" i="22" s="1"/>
  <c r="O23" i="22"/>
  <c r="P23" i="22"/>
  <c r="P37" i="22" s="1"/>
  <c r="Q23" i="22"/>
  <c r="Q37" i="22" s="1"/>
  <c r="R23" i="22"/>
  <c r="S23" i="22"/>
  <c r="S37" i="22" s="1"/>
  <c r="U23" i="22"/>
  <c r="U37" i="22" s="1"/>
  <c r="V23" i="22"/>
  <c r="W23" i="22"/>
  <c r="X23" i="22"/>
  <c r="Y23" i="22"/>
  <c r="Z23" i="22"/>
  <c r="AB23" i="22"/>
  <c r="G21" i="22"/>
  <c r="K21" i="22"/>
  <c r="K36" i="22" s="1"/>
  <c r="L21" i="22"/>
  <c r="L36" i="22" s="1"/>
  <c r="M21" i="22"/>
  <c r="M36" i="22" s="1"/>
  <c r="O21" i="22"/>
  <c r="O36" i="22" s="1"/>
  <c r="P21" i="22"/>
  <c r="P36" i="22" s="1"/>
  <c r="S21" i="22"/>
  <c r="T21" i="22"/>
  <c r="U21" i="22"/>
  <c r="U36" i="22" s="1"/>
  <c r="V21" i="22"/>
  <c r="V36" i="22" s="1"/>
  <c r="Y21" i="22"/>
  <c r="Z21" i="22"/>
  <c r="AB21" i="22"/>
  <c r="F38" i="22"/>
  <c r="G38" i="22"/>
  <c r="H38" i="22"/>
  <c r="I38" i="22"/>
  <c r="J38" i="22"/>
  <c r="K38" i="22"/>
  <c r="L38" i="22"/>
  <c r="M38" i="22"/>
  <c r="N38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B38" i="22"/>
  <c r="E38" i="22"/>
  <c r="H37" i="22"/>
  <c r="L37" i="22"/>
  <c r="O37" i="22"/>
  <c r="R37" i="22"/>
  <c r="V37" i="22"/>
  <c r="W37" i="22"/>
  <c r="X37" i="22"/>
  <c r="S36" i="22"/>
  <c r="T36" i="22"/>
  <c r="G31" i="22"/>
  <c r="H31" i="22"/>
  <c r="I31" i="22"/>
  <c r="J31" i="22"/>
  <c r="K31" i="22"/>
  <c r="L31" i="22"/>
  <c r="M31" i="22"/>
  <c r="O31" i="22"/>
  <c r="P31" i="22"/>
  <c r="Q31" i="22"/>
  <c r="R31" i="22"/>
  <c r="S31" i="22"/>
  <c r="T31" i="22"/>
  <c r="U31" i="22"/>
  <c r="V31" i="22"/>
  <c r="T8" i="25"/>
  <c r="T9" i="25"/>
  <c r="T10" i="25"/>
  <c r="T11" i="25"/>
  <c r="U8" i="25"/>
  <c r="U9" i="25"/>
  <c r="U10" i="25"/>
  <c r="U11" i="25"/>
  <c r="X29" i="22"/>
  <c r="X28" i="22" s="1"/>
  <c r="E13" i="25"/>
  <c r="F29" i="22" s="1"/>
  <c r="F13" i="25"/>
  <c r="G13" i="25"/>
  <c r="H13" i="25"/>
  <c r="I13" i="25"/>
  <c r="J13" i="25"/>
  <c r="K13" i="25"/>
  <c r="L13" i="25"/>
  <c r="M13" i="25"/>
  <c r="N13" i="25"/>
  <c r="O13" i="25"/>
  <c r="R13" i="25"/>
  <c r="W29" i="22" s="1"/>
  <c r="W28" i="22" s="1"/>
  <c r="S13" i="25"/>
  <c r="D13" i="25"/>
  <c r="E29" i="22"/>
  <c r="D25" i="36"/>
  <c r="F9" i="52" s="1"/>
  <c r="H10" i="51"/>
  <c r="H11" i="51"/>
  <c r="H12" i="51"/>
  <c r="H13" i="51"/>
  <c r="C14" i="51"/>
  <c r="D14" i="51"/>
  <c r="E14" i="51"/>
  <c r="F14" i="51"/>
  <c r="G14" i="51"/>
  <c r="V39" i="22" l="1"/>
  <c r="B13" i="45" s="1"/>
  <c r="C13" i="45" s="1"/>
  <c r="D13" i="45" s="1"/>
  <c r="E13" i="45" s="1"/>
  <c r="F13" i="45" s="1"/>
  <c r="G13" i="45" s="1"/>
  <c r="H13" i="45" s="1"/>
  <c r="I13" i="45" s="1"/>
  <c r="J13" i="45" s="1"/>
  <c r="K13" i="45" s="1"/>
  <c r="L13" i="45" s="1"/>
  <c r="M13" i="45" s="1"/>
  <c r="O39" i="22"/>
  <c r="K39" i="22"/>
  <c r="S39" i="22"/>
  <c r="D10" i="48"/>
  <c r="E10" i="48" s="1"/>
  <c r="F10" i="48" s="1"/>
  <c r="C12" i="50"/>
  <c r="B9" i="45"/>
  <c r="D10" i="38"/>
  <c r="C16" i="38"/>
  <c r="C23" i="38" s="1"/>
  <c r="H14" i="51"/>
  <c r="L39" i="22"/>
  <c r="P39" i="22"/>
  <c r="B15" i="45" s="1"/>
  <c r="U39" i="22"/>
  <c r="M39" i="22"/>
  <c r="F17" i="49"/>
  <c r="E17" i="49"/>
  <c r="D17" i="49"/>
  <c r="C17" i="49"/>
  <c r="E34" i="48"/>
  <c r="F34" i="48" s="1"/>
  <c r="G34" i="48" s="1"/>
  <c r="E21" i="48"/>
  <c r="F21" i="48" s="1"/>
  <c r="G21" i="48" s="1"/>
  <c r="E20" i="48"/>
  <c r="F20" i="48" s="1"/>
  <c r="G20" i="48" s="1"/>
  <c r="E19" i="48"/>
  <c r="F19" i="48" s="1"/>
  <c r="G19" i="48" s="1"/>
  <c r="E18" i="48"/>
  <c r="F18" i="48" s="1"/>
  <c r="G18" i="48" s="1"/>
  <c r="E16" i="48"/>
  <c r="F16" i="48" s="1"/>
  <c r="G16" i="48" s="1"/>
  <c r="E14" i="48"/>
  <c r="F14" i="48" s="1"/>
  <c r="G14" i="48" s="1"/>
  <c r="E12" i="48"/>
  <c r="F12" i="48" s="1"/>
  <c r="G12" i="48" s="1"/>
  <c r="D12" i="47"/>
  <c r="C12" i="47"/>
  <c r="E10" i="46"/>
  <c r="D10" i="46"/>
  <c r="F13" i="43"/>
  <c r="E13" i="43"/>
  <c r="D13" i="43"/>
  <c r="C13" i="43"/>
  <c r="H11" i="43"/>
  <c r="H13" i="43" s="1"/>
  <c r="D27" i="42"/>
  <c r="E27" i="42" s="1"/>
  <c r="F27" i="42" s="1"/>
  <c r="D26" i="42"/>
  <c r="D12" i="42"/>
  <c r="E12" i="42" s="1"/>
  <c r="F12" i="42" s="1"/>
  <c r="D11" i="42"/>
  <c r="E11" i="42" s="1"/>
  <c r="F11" i="42" s="1"/>
  <c r="D21" i="41"/>
  <c r="C32" i="42" s="1"/>
  <c r="D32" i="42" s="1"/>
  <c r="E32" i="42" s="1"/>
  <c r="F32" i="42" s="1"/>
  <c r="C21" i="41"/>
  <c r="D14" i="41"/>
  <c r="C14" i="41"/>
  <c r="C37" i="40"/>
  <c r="D35" i="40"/>
  <c r="D41" i="40" s="1"/>
  <c r="D44" i="40" s="1"/>
  <c r="C35" i="40"/>
  <c r="C41" i="40" s="1"/>
  <c r="C44" i="40" s="1"/>
  <c r="D12" i="40"/>
  <c r="C12" i="40"/>
  <c r="C13" i="39"/>
  <c r="D23" i="41" l="1"/>
  <c r="C20" i="42"/>
  <c r="D20" i="42" s="1"/>
  <c r="E20" i="42" s="1"/>
  <c r="F20" i="42" s="1"/>
  <c r="C23" i="41"/>
  <c r="C15" i="45"/>
  <c r="D15" i="45" s="1"/>
  <c r="E15" i="45" s="1"/>
  <c r="F15" i="45" s="1"/>
  <c r="G15" i="45" s="1"/>
  <c r="H15" i="45" s="1"/>
  <c r="I15" i="45" s="1"/>
  <c r="J15" i="45" s="1"/>
  <c r="K15" i="45" s="1"/>
  <c r="L15" i="45" s="1"/>
  <c r="M15" i="45" s="1"/>
  <c r="N13" i="45"/>
  <c r="C9" i="45"/>
  <c r="D9" i="45" s="1"/>
  <c r="E9" i="45" s="1"/>
  <c r="F9" i="45" s="1"/>
  <c r="G9" i="45" s="1"/>
  <c r="H9" i="45" s="1"/>
  <c r="I9" i="45" s="1"/>
  <c r="J9" i="45" s="1"/>
  <c r="K9" i="45" s="1"/>
  <c r="L9" i="45" s="1"/>
  <c r="M9" i="45" s="1"/>
  <c r="D12" i="50"/>
  <c r="E12" i="50" s="1"/>
  <c r="F12" i="50" s="1"/>
  <c r="G12" i="50" s="1"/>
  <c r="H12" i="50" s="1"/>
  <c r="I12" i="50" s="1"/>
  <c r="J12" i="50" s="1"/>
  <c r="K12" i="50" s="1"/>
  <c r="L12" i="50" s="1"/>
  <c r="M12" i="50" s="1"/>
  <c r="N12" i="50" s="1"/>
  <c r="D10" i="42"/>
  <c r="E10" i="42" s="1"/>
  <c r="G10" i="48"/>
  <c r="E26" i="42"/>
  <c r="D28" i="42"/>
  <c r="N15" i="45" l="1"/>
  <c r="N9" i="45"/>
  <c r="O12" i="50"/>
  <c r="F26" i="42"/>
  <c r="F28" i="42" s="1"/>
  <c r="E28" i="42"/>
  <c r="C9" i="36" l="1"/>
  <c r="D9" i="36"/>
  <c r="C17" i="36"/>
  <c r="C21" i="36"/>
  <c r="D21" i="36"/>
  <c r="F15" i="52" s="1"/>
  <c r="C25" i="36"/>
  <c r="C39" i="36"/>
  <c r="C10" i="50" l="1"/>
  <c r="D10" i="50" s="1"/>
  <c r="E10" i="50" s="1"/>
  <c r="F10" i="50" s="1"/>
  <c r="G10" i="50" s="1"/>
  <c r="H10" i="50" s="1"/>
  <c r="I10" i="50" s="1"/>
  <c r="J10" i="50" s="1"/>
  <c r="K10" i="50" s="1"/>
  <c r="L10" i="50" s="1"/>
  <c r="M10" i="50" s="1"/>
  <c r="N10" i="50" s="1"/>
  <c r="D56" i="26"/>
  <c r="F16" i="28"/>
  <c r="J16" i="28"/>
  <c r="K16" i="28"/>
  <c r="L16" i="28"/>
  <c r="M16" i="28"/>
  <c r="N16" i="28"/>
  <c r="O16" i="28"/>
  <c r="U65" i="26" s="1"/>
  <c r="P16" i="28"/>
  <c r="Q16" i="28"/>
  <c r="R16" i="28"/>
  <c r="S16" i="28"/>
  <c r="T16" i="28"/>
  <c r="U16" i="28"/>
  <c r="W16" i="28"/>
  <c r="J13" i="29"/>
  <c r="K13" i="29"/>
  <c r="L13" i="29"/>
  <c r="M13" i="29"/>
  <c r="N13" i="29"/>
  <c r="P13" i="29"/>
  <c r="Q13" i="29"/>
  <c r="R13" i="29"/>
  <c r="S13" i="29"/>
  <c r="T13" i="29"/>
  <c r="U13" i="29"/>
  <c r="V9" i="29"/>
  <c r="V7" i="29"/>
  <c r="K61" i="26"/>
  <c r="I9" i="29"/>
  <c r="Y9" i="29" s="1"/>
  <c r="O14" i="29"/>
  <c r="E7" i="29"/>
  <c r="I7" i="29"/>
  <c r="G7" i="29"/>
  <c r="AE62" i="26"/>
  <c r="AI62" i="26" s="1"/>
  <c r="F56" i="26"/>
  <c r="J56" i="26"/>
  <c r="K56" i="26"/>
  <c r="L56" i="26"/>
  <c r="N56" i="26"/>
  <c r="P56" i="26"/>
  <c r="Q56" i="26"/>
  <c r="R56" i="26"/>
  <c r="S56" i="26"/>
  <c r="V56" i="26"/>
  <c r="X56" i="26"/>
  <c r="Y56" i="26"/>
  <c r="Z56" i="26"/>
  <c r="AA56" i="26"/>
  <c r="AB56" i="26"/>
  <c r="AC56" i="26"/>
  <c r="AF56" i="26"/>
  <c r="AG56" i="26"/>
  <c r="AJ56" i="26"/>
  <c r="AJ54" i="26" s="1"/>
  <c r="AK56" i="26"/>
  <c r="AK54" i="26" s="1"/>
  <c r="G14" i="26"/>
  <c r="U61" i="26" l="1"/>
  <c r="Y7" i="29"/>
  <c r="O13" i="29"/>
  <c r="D15" i="38" s="1"/>
  <c r="O10" i="50"/>
  <c r="J44" i="26"/>
  <c r="L44" i="26"/>
  <c r="N44" i="26"/>
  <c r="P44" i="26"/>
  <c r="Q44" i="26"/>
  <c r="R44" i="26"/>
  <c r="S44" i="26"/>
  <c r="Z44" i="26"/>
  <c r="AB44" i="26"/>
  <c r="AF44" i="26"/>
  <c r="AJ44" i="26"/>
  <c r="AK44" i="26"/>
  <c r="F27" i="26"/>
  <c r="F55" i="26" s="1"/>
  <c r="I7" i="26"/>
  <c r="G7" i="26"/>
  <c r="E7" i="26"/>
  <c r="AD7" i="26"/>
  <c r="AE11" i="26"/>
  <c r="AE12" i="26"/>
  <c r="AE13" i="26"/>
  <c r="AI13" i="26" s="1"/>
  <c r="AE32" i="26"/>
  <c r="AI32" i="26" s="1"/>
  <c r="AE35" i="26"/>
  <c r="AI35" i="26" s="1"/>
  <c r="AE37" i="26"/>
  <c r="AI37" i="26" s="1"/>
  <c r="AE38" i="26"/>
  <c r="AI38" i="26" s="1"/>
  <c r="AE40" i="26"/>
  <c r="AI40" i="26" s="1"/>
  <c r="AE42" i="26"/>
  <c r="AI42" i="26" s="1"/>
  <c r="AE43" i="26"/>
  <c r="AI43" i="26" s="1"/>
  <c r="AD11" i="26"/>
  <c r="AH11" i="26" s="1"/>
  <c r="AD12" i="26"/>
  <c r="AD13" i="26"/>
  <c r="AH13" i="26" s="1"/>
  <c r="AD14" i="26"/>
  <c r="AH14" i="26" s="1"/>
  <c r="AD18" i="26"/>
  <c r="AH18" i="26" s="1"/>
  <c r="AD19" i="26"/>
  <c r="AH19" i="26" s="1"/>
  <c r="AD21" i="26"/>
  <c r="AH21" i="26" s="1"/>
  <c r="AD25" i="26"/>
  <c r="AH25" i="26" s="1"/>
  <c r="AD26" i="26"/>
  <c r="AH26" i="26" s="1"/>
  <c r="AD28" i="26"/>
  <c r="AH28" i="26" s="1"/>
  <c r="AD29" i="26"/>
  <c r="AH29" i="26" s="1"/>
  <c r="AD30" i="26"/>
  <c r="AH30" i="26" s="1"/>
  <c r="AD31" i="26"/>
  <c r="AH31" i="26" s="1"/>
  <c r="AD32" i="26"/>
  <c r="AH32" i="26" s="1"/>
  <c r="AD33" i="26"/>
  <c r="AH33" i="26" s="1"/>
  <c r="AD34" i="26"/>
  <c r="AH34" i="26" s="1"/>
  <c r="AD35" i="26"/>
  <c r="AH35" i="26" s="1"/>
  <c r="AD36" i="26"/>
  <c r="AH36" i="26" s="1"/>
  <c r="AD37" i="26"/>
  <c r="AH37" i="26" s="1"/>
  <c r="AD38" i="26"/>
  <c r="AH38" i="26" s="1"/>
  <c r="AD39" i="26"/>
  <c r="AH39" i="26" s="1"/>
  <c r="AD40" i="26"/>
  <c r="AH40" i="26" s="1"/>
  <c r="AD41" i="26"/>
  <c r="AH41" i="26" s="1"/>
  <c r="AD42" i="26"/>
  <c r="AH42" i="26" s="1"/>
  <c r="AD43" i="26"/>
  <c r="AH43" i="26" s="1"/>
  <c r="AC7" i="26"/>
  <c r="AA10" i="26"/>
  <c r="AA55" i="26" s="1"/>
  <c r="AA68" i="26" s="1"/>
  <c r="U34" i="26"/>
  <c r="O31" i="26"/>
  <c r="O56" i="26" s="1"/>
  <c r="O24" i="26"/>
  <c r="O55" i="26" s="1"/>
  <c r="O68" i="26" s="1"/>
  <c r="M39" i="26"/>
  <c r="M31" i="26"/>
  <c r="M28" i="26"/>
  <c r="K39" i="26"/>
  <c r="K55" i="26" s="1"/>
  <c r="K68" i="26" s="1"/>
  <c r="I41" i="26"/>
  <c r="I36" i="26"/>
  <c r="AE36" i="26" s="1"/>
  <c r="AI36" i="26" s="1"/>
  <c r="I33" i="26"/>
  <c r="AE33" i="26" s="1"/>
  <c r="AI33" i="26" s="1"/>
  <c r="I29" i="26"/>
  <c r="I28" i="26"/>
  <c r="AE28" i="26" s="1"/>
  <c r="AI28" i="26" s="1"/>
  <c r="I27" i="26"/>
  <c r="I25" i="26"/>
  <c r="AE25" i="26" s="1"/>
  <c r="AI25" i="26" s="1"/>
  <c r="I24" i="26"/>
  <c r="I20" i="26"/>
  <c r="I19" i="26"/>
  <c r="AE19" i="26" s="1"/>
  <c r="AI19" i="26" s="1"/>
  <c r="I18" i="26"/>
  <c r="AE18" i="26" s="1"/>
  <c r="AI18" i="26" s="1"/>
  <c r="G41" i="26"/>
  <c r="G26" i="26"/>
  <c r="G20" i="26"/>
  <c r="E26" i="26"/>
  <c r="E20" i="26"/>
  <c r="E56" i="26" s="1"/>
  <c r="M30" i="26"/>
  <c r="AE30" i="26" s="1"/>
  <c r="AI30" i="26" s="1"/>
  <c r="W29" i="26"/>
  <c r="W56" i="26" s="1"/>
  <c r="W21" i="26"/>
  <c r="AE21" i="26" s="1"/>
  <c r="AI21" i="26" s="1"/>
  <c r="E14" i="26"/>
  <c r="AE14" i="26" s="1"/>
  <c r="AI14" i="26" s="1"/>
  <c r="AG11" i="26"/>
  <c r="AE7" i="26" l="1"/>
  <c r="AI7" i="26" s="1"/>
  <c r="G56" i="26"/>
  <c r="AE31" i="26"/>
  <c r="AI31" i="26" s="1"/>
  <c r="M56" i="26"/>
  <c r="AE34" i="26"/>
  <c r="AI34" i="26" s="1"/>
  <c r="U55" i="26"/>
  <c r="AI11" i="26"/>
  <c r="K44" i="26"/>
  <c r="M44" i="26"/>
  <c r="M55" i="26"/>
  <c r="M68" i="26" s="1"/>
  <c r="AG44" i="26"/>
  <c r="AG55" i="26"/>
  <c r="AE26" i="26"/>
  <c r="AI26" i="26" s="1"/>
  <c r="AE41" i="26"/>
  <c r="AI41" i="26" s="1"/>
  <c r="AE39" i="26"/>
  <c r="AI39" i="26" s="1"/>
  <c r="AE10" i="26"/>
  <c r="AI10" i="26" s="1"/>
  <c r="O44" i="26"/>
  <c r="AC44" i="26"/>
  <c r="AC66" i="26" s="1"/>
  <c r="AC55" i="26"/>
  <c r="AC68" i="26" s="1"/>
  <c r="AH12" i="26"/>
  <c r="F44" i="26"/>
  <c r="AI12" i="26"/>
  <c r="AA44" i="26"/>
  <c r="AE29" i="26"/>
  <c r="AI29" i="26" s="1"/>
  <c r="T11" i="22"/>
  <c r="T23" i="22" s="1"/>
  <c r="T37" i="22" s="1"/>
  <c r="T39" i="22" s="1"/>
  <c r="B11" i="45" s="1"/>
  <c r="N13" i="22"/>
  <c r="N14" i="22"/>
  <c r="N23" i="22" s="1"/>
  <c r="N37" i="22" s="1"/>
  <c r="N15" i="22"/>
  <c r="N16" i="22"/>
  <c r="N17" i="22"/>
  <c r="N18" i="22"/>
  <c r="N19" i="22"/>
  <c r="N12" i="22"/>
  <c r="H17" i="22"/>
  <c r="H21" i="22" s="1"/>
  <c r="H36" i="22" s="1"/>
  <c r="H39" i="22" s="1"/>
  <c r="AA12" i="22"/>
  <c r="AA13" i="22"/>
  <c r="AA14" i="22"/>
  <c r="AA16" i="22"/>
  <c r="AA17" i="22"/>
  <c r="AA19" i="22"/>
  <c r="G20" i="22"/>
  <c r="K20" i="22"/>
  <c r="K34" i="22" s="1"/>
  <c r="L20" i="22"/>
  <c r="M20" i="22"/>
  <c r="O20" i="22"/>
  <c r="P20" i="22"/>
  <c r="S20" i="22"/>
  <c r="T20" i="22"/>
  <c r="U20" i="22"/>
  <c r="V20" i="22"/>
  <c r="Y20" i="22"/>
  <c r="Z20" i="22"/>
  <c r="AB20" i="22"/>
  <c r="F9" i="22"/>
  <c r="F11" i="22"/>
  <c r="F12" i="22"/>
  <c r="F13" i="22"/>
  <c r="F14" i="22"/>
  <c r="F16" i="22"/>
  <c r="F17" i="22"/>
  <c r="F18" i="22"/>
  <c r="F7" i="22"/>
  <c r="D9" i="23"/>
  <c r="H24" i="22"/>
  <c r="I24" i="22"/>
  <c r="J24" i="22"/>
  <c r="K24" i="22"/>
  <c r="L24" i="22"/>
  <c r="L34" i="22" s="1"/>
  <c r="M24" i="22"/>
  <c r="N24" i="22"/>
  <c r="O24" i="22"/>
  <c r="O34" i="22" s="1"/>
  <c r="P24" i="22"/>
  <c r="Q24" i="22"/>
  <c r="R24" i="22"/>
  <c r="S24" i="22"/>
  <c r="S34" i="22" s="1"/>
  <c r="T24" i="22"/>
  <c r="U24" i="22"/>
  <c r="V24" i="22"/>
  <c r="V34" i="22" s="1"/>
  <c r="Z26" i="22"/>
  <c r="Y26" i="22"/>
  <c r="Z25" i="22"/>
  <c r="Y25" i="22"/>
  <c r="W25" i="22"/>
  <c r="W24" i="22" s="1"/>
  <c r="AB70" i="26"/>
  <c r="AB71" i="26" s="1"/>
  <c r="C66" i="36" s="1"/>
  <c r="C65" i="36" s="1"/>
  <c r="AC70" i="26"/>
  <c r="AJ70" i="26"/>
  <c r="AK70" i="26"/>
  <c r="AJ68" i="26"/>
  <c r="AK68" i="26"/>
  <c r="AB66" i="26"/>
  <c r="AJ66" i="26"/>
  <c r="AK66" i="26"/>
  <c r="Y9" i="28"/>
  <c r="Y13" i="28"/>
  <c r="F15" i="28"/>
  <c r="J15" i="28"/>
  <c r="K15" i="28"/>
  <c r="L15" i="28"/>
  <c r="M15" i="28"/>
  <c r="N15" i="28"/>
  <c r="O15" i="28"/>
  <c r="U64" i="26" s="1"/>
  <c r="P15" i="28"/>
  <c r="Q15" i="28"/>
  <c r="R15" i="28"/>
  <c r="S15" i="28"/>
  <c r="T15" i="28"/>
  <c r="U15" i="28"/>
  <c r="W15" i="28"/>
  <c r="X15" i="28"/>
  <c r="F14" i="28"/>
  <c r="J14" i="28"/>
  <c r="K14" i="28"/>
  <c r="L14" i="28"/>
  <c r="M14" i="28"/>
  <c r="N14" i="28"/>
  <c r="O14" i="28"/>
  <c r="D14" i="38" s="1"/>
  <c r="P14" i="28"/>
  <c r="Q14" i="28"/>
  <c r="R14" i="28"/>
  <c r="S14" i="28"/>
  <c r="T14" i="28"/>
  <c r="U14" i="28"/>
  <c r="W14" i="28"/>
  <c r="D16" i="28"/>
  <c r="D15" i="28"/>
  <c r="D14" i="28"/>
  <c r="G11" i="28"/>
  <c r="E11" i="28"/>
  <c r="I12" i="28"/>
  <c r="I10" i="28"/>
  <c r="I8" i="28"/>
  <c r="G12" i="28"/>
  <c r="E12" i="28"/>
  <c r="Y12" i="28" s="1"/>
  <c r="G8" i="28"/>
  <c r="E8" i="28"/>
  <c r="G10" i="28"/>
  <c r="E10" i="28"/>
  <c r="G7" i="28"/>
  <c r="E7" i="28"/>
  <c r="F13" i="27"/>
  <c r="H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W13" i="27"/>
  <c r="X13" i="27"/>
  <c r="D13" i="27"/>
  <c r="F11" i="27"/>
  <c r="H11" i="27"/>
  <c r="J11" i="27"/>
  <c r="K11" i="27"/>
  <c r="L11" i="27"/>
  <c r="M11" i="27"/>
  <c r="N11" i="27"/>
  <c r="O11" i="27"/>
  <c r="D13" i="38" s="1"/>
  <c r="D16" i="38" s="1"/>
  <c r="D23" i="38" s="1"/>
  <c r="P11" i="27"/>
  <c r="Q11" i="27"/>
  <c r="R11" i="27"/>
  <c r="S11" i="27"/>
  <c r="T11" i="27"/>
  <c r="U11" i="27"/>
  <c r="W11" i="27"/>
  <c r="X11" i="27"/>
  <c r="D11" i="27"/>
  <c r="G7" i="27"/>
  <c r="G11" i="27" s="1"/>
  <c r="V7" i="27"/>
  <c r="V13" i="27" s="1"/>
  <c r="I7" i="27"/>
  <c r="I13" i="27" s="1"/>
  <c r="E7" i="27"/>
  <c r="X25" i="22"/>
  <c r="E8" i="23"/>
  <c r="F15" i="24"/>
  <c r="G15" i="24"/>
  <c r="H15" i="24"/>
  <c r="I15" i="24"/>
  <c r="J15" i="24"/>
  <c r="K15" i="24"/>
  <c r="L15" i="24"/>
  <c r="M15" i="24"/>
  <c r="N15" i="24"/>
  <c r="O15" i="24"/>
  <c r="P15" i="24"/>
  <c r="R15" i="24"/>
  <c r="V14" i="24"/>
  <c r="Q8" i="24"/>
  <c r="Q17" i="24" s="1"/>
  <c r="Z33" i="22" s="1"/>
  <c r="Q7" i="24"/>
  <c r="V10" i="24"/>
  <c r="V11" i="24"/>
  <c r="V13" i="24"/>
  <c r="S15" i="24"/>
  <c r="E12" i="24"/>
  <c r="V12" i="24" s="1"/>
  <c r="E9" i="24"/>
  <c r="V9" i="24" s="1"/>
  <c r="T13" i="24"/>
  <c r="T14" i="24"/>
  <c r="F17" i="24"/>
  <c r="G17" i="24"/>
  <c r="H17" i="24"/>
  <c r="I17" i="24"/>
  <c r="J17" i="24"/>
  <c r="K17" i="24"/>
  <c r="L17" i="24"/>
  <c r="M17" i="24"/>
  <c r="N17" i="24"/>
  <c r="O17" i="24"/>
  <c r="P17" i="24"/>
  <c r="Y33" i="22" s="1"/>
  <c r="R17" i="24"/>
  <c r="S17" i="24"/>
  <c r="E16" i="24"/>
  <c r="F32" i="22" s="1"/>
  <c r="F16" i="24"/>
  <c r="G16" i="24"/>
  <c r="H16" i="24"/>
  <c r="I16" i="24"/>
  <c r="J16" i="24"/>
  <c r="K16" i="24"/>
  <c r="L16" i="24"/>
  <c r="M16" i="24"/>
  <c r="N16" i="24"/>
  <c r="O16" i="24"/>
  <c r="P16" i="24"/>
  <c r="Y32" i="22" s="1"/>
  <c r="R16" i="24"/>
  <c r="W32" i="22" s="1"/>
  <c r="U16" i="24"/>
  <c r="D16" i="24"/>
  <c r="E32" i="22" s="1"/>
  <c r="I59" i="26" l="1"/>
  <c r="U59" i="26"/>
  <c r="Q15" i="24"/>
  <c r="G15" i="28"/>
  <c r="G64" i="26" s="1"/>
  <c r="AC71" i="26"/>
  <c r="D66" i="36" s="1"/>
  <c r="D65" i="36" s="1"/>
  <c r="D32" i="48" s="1"/>
  <c r="E32" i="48" s="1"/>
  <c r="F32" i="48" s="1"/>
  <c r="G32" i="48" s="1"/>
  <c r="P34" i="22"/>
  <c r="Y10" i="28"/>
  <c r="G14" i="28"/>
  <c r="E15" i="28"/>
  <c r="E64" i="26" s="1"/>
  <c r="Y7" i="27"/>
  <c r="Y13" i="27" s="1"/>
  <c r="Q16" i="24"/>
  <c r="S16" i="24"/>
  <c r="X32" i="22" s="1"/>
  <c r="X31" i="22" s="1"/>
  <c r="V7" i="24"/>
  <c r="E14" i="28"/>
  <c r="Y37" i="22"/>
  <c r="T34" i="22"/>
  <c r="C11" i="45"/>
  <c r="D11" i="45" s="1"/>
  <c r="E11" i="45" s="1"/>
  <c r="F11" i="45" s="1"/>
  <c r="G11" i="45" s="1"/>
  <c r="H11" i="45" s="1"/>
  <c r="I11" i="45" s="1"/>
  <c r="J11" i="45" s="1"/>
  <c r="K11" i="45" s="1"/>
  <c r="L11" i="45" s="1"/>
  <c r="M11" i="45" s="1"/>
  <c r="B29" i="45"/>
  <c r="C31" i="42"/>
  <c r="D31" i="42" s="1"/>
  <c r="E31" i="42" s="1"/>
  <c r="F31" i="42" s="1"/>
  <c r="Y8" i="28"/>
  <c r="Z37" i="22"/>
  <c r="E16" i="28"/>
  <c r="E65" i="26" s="1"/>
  <c r="G16" i="28"/>
  <c r="G65" i="26" s="1"/>
  <c r="Z24" i="22"/>
  <c r="H20" i="22"/>
  <c r="H34" i="22" s="1"/>
  <c r="N21" i="22"/>
  <c r="N36" i="22" s="1"/>
  <c r="N39" i="22" s="1"/>
  <c r="N20" i="22"/>
  <c r="N34" i="22" s="1"/>
  <c r="U68" i="26"/>
  <c r="Y31" i="22"/>
  <c r="W31" i="22"/>
  <c r="U34" i="22"/>
  <c r="M34" i="22"/>
  <c r="Y24" i="22"/>
  <c r="X24" i="22"/>
  <c r="I11" i="27"/>
  <c r="E11" i="27"/>
  <c r="G13" i="27"/>
  <c r="E13" i="27"/>
  <c r="E8" i="22"/>
  <c r="Q7" i="22"/>
  <c r="AC9" i="22"/>
  <c r="AC11" i="22"/>
  <c r="AC12" i="22"/>
  <c r="AC13" i="22"/>
  <c r="AC14" i="22"/>
  <c r="AC16" i="22"/>
  <c r="AC17" i="22"/>
  <c r="AA9" i="22"/>
  <c r="AA11" i="22"/>
  <c r="W18" i="22"/>
  <c r="X18" i="22" s="1"/>
  <c r="I18" i="22"/>
  <c r="E15" i="22"/>
  <c r="G59" i="26" l="1"/>
  <c r="E59" i="26"/>
  <c r="Y11" i="27"/>
  <c r="Z32" i="22"/>
  <c r="Z31" i="22" s="1"/>
  <c r="V16" i="24"/>
  <c r="E21" i="22"/>
  <c r="AA15" i="22"/>
  <c r="F15" i="22"/>
  <c r="D19" i="36"/>
  <c r="D17" i="36" s="1"/>
  <c r="F12" i="52" s="1"/>
  <c r="W21" i="22"/>
  <c r="W36" i="22" s="1"/>
  <c r="W39" i="22" s="1"/>
  <c r="W20" i="22"/>
  <c r="W34" i="22" s="1"/>
  <c r="C38" i="36" s="1"/>
  <c r="C44" i="36" s="1"/>
  <c r="N11" i="45"/>
  <c r="AA7" i="22"/>
  <c r="Q21" i="22"/>
  <c r="Q36" i="22" s="1"/>
  <c r="Q39" i="22" s="1"/>
  <c r="C33" i="36" s="1"/>
  <c r="R7" i="22"/>
  <c r="Q20" i="22"/>
  <c r="Q34" i="22" s="1"/>
  <c r="I21" i="22"/>
  <c r="I36" i="22" s="1"/>
  <c r="I39" i="22" s="1"/>
  <c r="AA18" i="22"/>
  <c r="J18" i="22"/>
  <c r="I20" i="22"/>
  <c r="I34" i="22" s="1"/>
  <c r="AA8" i="22"/>
  <c r="F8" i="22"/>
  <c r="C29" i="45"/>
  <c r="D29" i="45" s="1"/>
  <c r="E29" i="45" s="1"/>
  <c r="F29" i="45" s="1"/>
  <c r="G29" i="45" s="1"/>
  <c r="H29" i="45" s="1"/>
  <c r="I29" i="45" s="1"/>
  <c r="J29" i="45" s="1"/>
  <c r="K29" i="45" s="1"/>
  <c r="L29" i="45" s="1"/>
  <c r="M29" i="45" s="1"/>
  <c r="E10" i="22"/>
  <c r="AE59" i="26" l="1"/>
  <c r="AI59" i="26" s="1"/>
  <c r="AA21" i="22"/>
  <c r="AA10" i="22"/>
  <c r="AA23" i="22" s="1"/>
  <c r="F10" i="22"/>
  <c r="AC10" i="22" s="1"/>
  <c r="E20" i="22"/>
  <c r="N29" i="45"/>
  <c r="AC8" i="22"/>
  <c r="AC23" i="22" s="1"/>
  <c r="J21" i="22"/>
  <c r="J36" i="22" s="1"/>
  <c r="J39" i="22" s="1"/>
  <c r="B12" i="45" s="1"/>
  <c r="J20" i="22"/>
  <c r="J34" i="22" s="1"/>
  <c r="AC18" i="22"/>
  <c r="X21" i="22"/>
  <c r="X36" i="22" s="1"/>
  <c r="X39" i="22" s="1"/>
  <c r="X20" i="22"/>
  <c r="X34" i="22" s="1"/>
  <c r="D38" i="36" s="1"/>
  <c r="F21" i="22"/>
  <c r="AC15" i="22"/>
  <c r="E23" i="22"/>
  <c r="R21" i="22"/>
  <c r="R36" i="22" s="1"/>
  <c r="R39" i="22" s="1"/>
  <c r="R20" i="22"/>
  <c r="R34" i="22" s="1"/>
  <c r="AC7" i="22"/>
  <c r="C11" i="50"/>
  <c r="D13" i="48"/>
  <c r="E13" i="48" s="1"/>
  <c r="F13" i="48" s="1"/>
  <c r="G13" i="48" s="1"/>
  <c r="C13" i="42"/>
  <c r="R12" i="25"/>
  <c r="S12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7" i="25"/>
  <c r="P12" i="25" s="1"/>
  <c r="AE69" i="26" l="1"/>
  <c r="AE57" i="26"/>
  <c r="AI57" i="26" s="1"/>
  <c r="F20" i="22"/>
  <c r="D17" i="48"/>
  <c r="E17" i="48" s="1"/>
  <c r="F17" i="48" s="1"/>
  <c r="G17" i="48" s="1"/>
  <c r="F16" i="52"/>
  <c r="B16" i="45"/>
  <c r="C16" i="45" s="1"/>
  <c r="D16" i="45" s="1"/>
  <c r="E16" i="45" s="1"/>
  <c r="F16" i="45" s="1"/>
  <c r="G16" i="45" s="1"/>
  <c r="H16" i="45" s="1"/>
  <c r="I16" i="45" s="1"/>
  <c r="J16" i="45" s="1"/>
  <c r="K16" i="45" s="1"/>
  <c r="L16" i="45" s="1"/>
  <c r="M16" i="45" s="1"/>
  <c r="F23" i="22"/>
  <c r="T12" i="25"/>
  <c r="D11" i="50"/>
  <c r="E11" i="50" s="1"/>
  <c r="F11" i="50" s="1"/>
  <c r="G11" i="50" s="1"/>
  <c r="H11" i="50" s="1"/>
  <c r="I11" i="50" s="1"/>
  <c r="J11" i="50" s="1"/>
  <c r="K11" i="50" s="1"/>
  <c r="L11" i="50" s="1"/>
  <c r="M11" i="50" s="1"/>
  <c r="N11" i="50" s="1"/>
  <c r="Y29" i="22"/>
  <c r="P13" i="25"/>
  <c r="T13" i="25" s="1"/>
  <c r="Q7" i="25"/>
  <c r="T7" i="25"/>
  <c r="B14" i="45"/>
  <c r="D33" i="36"/>
  <c r="F14" i="52" s="1"/>
  <c r="C12" i="45"/>
  <c r="D12" i="45" s="1"/>
  <c r="E12" i="45" s="1"/>
  <c r="F12" i="45" s="1"/>
  <c r="G12" i="45" s="1"/>
  <c r="H12" i="45" s="1"/>
  <c r="I12" i="45" s="1"/>
  <c r="J12" i="45" s="1"/>
  <c r="K12" i="45" s="1"/>
  <c r="L12" i="45" s="1"/>
  <c r="M12" i="45" s="1"/>
  <c r="D44" i="36"/>
  <c r="C16" i="50" s="1"/>
  <c r="D16" i="50" s="1"/>
  <c r="E16" i="50" s="1"/>
  <c r="F16" i="50" s="1"/>
  <c r="G16" i="50" s="1"/>
  <c r="H16" i="50" s="1"/>
  <c r="I16" i="50" s="1"/>
  <c r="J16" i="50" s="1"/>
  <c r="K16" i="50" s="1"/>
  <c r="L16" i="50" s="1"/>
  <c r="M16" i="50" s="1"/>
  <c r="N16" i="50" s="1"/>
  <c r="AA20" i="22"/>
  <c r="C14" i="42"/>
  <c r="D14" i="42" s="1"/>
  <c r="E14" i="42" s="1"/>
  <c r="F14" i="42" s="1"/>
  <c r="D13" i="42"/>
  <c r="E13" i="42" s="1"/>
  <c r="F13" i="42" s="1"/>
  <c r="AC21" i="22"/>
  <c r="AC20" i="22"/>
  <c r="D15" i="50"/>
  <c r="E15" i="50" s="1"/>
  <c r="F15" i="50" s="1"/>
  <c r="G15" i="50" s="1"/>
  <c r="H15" i="50" s="1"/>
  <c r="I15" i="50" s="1"/>
  <c r="J15" i="50" s="1"/>
  <c r="K15" i="50" s="1"/>
  <c r="L15" i="50" s="1"/>
  <c r="M15" i="50" s="1"/>
  <c r="N15" i="50" s="1"/>
  <c r="F11" i="29"/>
  <c r="D11" i="29"/>
  <c r="H11" i="29"/>
  <c r="I11" i="29" s="1"/>
  <c r="C14" i="45" l="1"/>
  <c r="D14" i="45" s="1"/>
  <c r="E14" i="45" s="1"/>
  <c r="F14" i="45" s="1"/>
  <c r="G14" i="45" s="1"/>
  <c r="H14" i="45" s="1"/>
  <c r="I14" i="45" s="1"/>
  <c r="J14" i="45" s="1"/>
  <c r="K14" i="45" s="1"/>
  <c r="L14" i="45" s="1"/>
  <c r="M14" i="45" s="1"/>
  <c r="O11" i="50"/>
  <c r="N12" i="45"/>
  <c r="U7" i="25"/>
  <c r="Q13" i="25"/>
  <c r="Q12" i="25"/>
  <c r="U12" i="25" s="1"/>
  <c r="F14" i="29"/>
  <c r="F13" i="29"/>
  <c r="G11" i="29"/>
  <c r="D14" i="29"/>
  <c r="D13" i="29"/>
  <c r="V11" i="29"/>
  <c r="E11" i="29"/>
  <c r="D15" i="48"/>
  <c r="E15" i="48" s="1"/>
  <c r="F15" i="48" s="1"/>
  <c r="G15" i="48" s="1"/>
  <c r="C14" i="50"/>
  <c r="C25" i="42"/>
  <c r="C28" i="42" s="1"/>
  <c r="Y28" i="22"/>
  <c r="Y34" i="22" s="1"/>
  <c r="AA29" i="22"/>
  <c r="Y36" i="22"/>
  <c r="Y39" i="22" s="1"/>
  <c r="O16" i="50"/>
  <c r="O15" i="50"/>
  <c r="N16" i="45"/>
  <c r="T7" i="24"/>
  <c r="T9" i="24"/>
  <c r="T10" i="24"/>
  <c r="T11" i="24"/>
  <c r="T12" i="24"/>
  <c r="Y11" i="29" l="1"/>
  <c r="E14" i="29"/>
  <c r="E13" i="29"/>
  <c r="G13" i="29"/>
  <c r="G14" i="29"/>
  <c r="Z29" i="22"/>
  <c r="U13" i="25"/>
  <c r="AG61" i="26"/>
  <c r="N14" i="45"/>
  <c r="T16" i="24"/>
  <c r="D14" i="50"/>
  <c r="E14" i="50" s="1"/>
  <c r="F14" i="50" s="1"/>
  <c r="G14" i="50" s="1"/>
  <c r="H14" i="50" s="1"/>
  <c r="I14" i="50" s="1"/>
  <c r="J14" i="50" s="1"/>
  <c r="K14" i="50" s="1"/>
  <c r="L14" i="50" s="1"/>
  <c r="M14" i="50" s="1"/>
  <c r="N14" i="50" s="1"/>
  <c r="D8" i="24"/>
  <c r="O14" i="50" l="1"/>
  <c r="Z28" i="22"/>
  <c r="Z34" i="22" s="1"/>
  <c r="Z36" i="22"/>
  <c r="Z39" i="22" s="1"/>
  <c r="E8" i="24"/>
  <c r="D17" i="24"/>
  <c r="E33" i="22" s="1"/>
  <c r="E31" i="22" s="1"/>
  <c r="D15" i="24"/>
  <c r="T8" i="24"/>
  <c r="AD10" i="26"/>
  <c r="AH10" i="26" s="1"/>
  <c r="D27" i="26"/>
  <c r="G27" i="26"/>
  <c r="G55" i="26" s="1"/>
  <c r="X24" i="26"/>
  <c r="Y24" i="26" s="1"/>
  <c r="H23" i="26"/>
  <c r="H22" i="26"/>
  <c r="I22" i="26" s="1"/>
  <c r="T20" i="26"/>
  <c r="U20" i="26" s="1"/>
  <c r="H17" i="26"/>
  <c r="V16" i="26"/>
  <c r="V55" i="26" s="1"/>
  <c r="V68" i="26" s="1"/>
  <c r="H16" i="26"/>
  <c r="I16" i="26" s="1"/>
  <c r="H15" i="26"/>
  <c r="H56" i="26" s="1"/>
  <c r="H9" i="26"/>
  <c r="I9" i="26" s="1"/>
  <c r="H8" i="26"/>
  <c r="E17" i="24" l="1"/>
  <c r="E15" i="24"/>
  <c r="V8" i="24"/>
  <c r="T44" i="26"/>
  <c r="T56" i="26"/>
  <c r="D55" i="26"/>
  <c r="D44" i="26"/>
  <c r="H55" i="26"/>
  <c r="I8" i="26"/>
  <c r="X55" i="26"/>
  <c r="X68" i="26" s="1"/>
  <c r="Y55" i="26"/>
  <c r="Y68" i="26" s="1"/>
  <c r="D57" i="36" s="1"/>
  <c r="F34" i="52" s="1"/>
  <c r="T17" i="24"/>
  <c r="T15" i="24"/>
  <c r="G44" i="26"/>
  <c r="AE9" i="26"/>
  <c r="X44" i="26"/>
  <c r="AD8" i="26"/>
  <c r="H44" i="26"/>
  <c r="V44" i="26"/>
  <c r="I23" i="26"/>
  <c r="AE23" i="26" s="1"/>
  <c r="AI23" i="26" s="1"/>
  <c r="AD23" i="26"/>
  <c r="AH23" i="26" s="1"/>
  <c r="AD9" i="26"/>
  <c r="AD16" i="26"/>
  <c r="AH16" i="26" s="1"/>
  <c r="AD22" i="26"/>
  <c r="AH22" i="26" s="1"/>
  <c r="AE22" i="26"/>
  <c r="AI22" i="26" s="1"/>
  <c r="E27" i="26"/>
  <c r="AD27" i="26"/>
  <c r="AH27" i="26" s="1"/>
  <c r="I17" i="26"/>
  <c r="AE17" i="26" s="1"/>
  <c r="AI17" i="26" s="1"/>
  <c r="AD17" i="26"/>
  <c r="AH17" i="26" s="1"/>
  <c r="AD24" i="26"/>
  <c r="AH24" i="26" s="1"/>
  <c r="AD15" i="26"/>
  <c r="I15" i="26"/>
  <c r="U56" i="26"/>
  <c r="AD20" i="26"/>
  <c r="AH20" i="26" s="1"/>
  <c r="V8" i="27"/>
  <c r="V9" i="27"/>
  <c r="V10" i="27"/>
  <c r="E44" i="26" l="1"/>
  <c r="E55" i="26"/>
  <c r="W44" i="26"/>
  <c r="W55" i="26"/>
  <c r="W68" i="26" s="1"/>
  <c r="B33" i="45"/>
  <c r="D35" i="48"/>
  <c r="E35" i="48" s="1"/>
  <c r="F35" i="48" s="1"/>
  <c r="G35" i="48" s="1"/>
  <c r="C27" i="50"/>
  <c r="AE15" i="26"/>
  <c r="I56" i="26"/>
  <c r="AD44" i="26"/>
  <c r="AH44" i="26" s="1"/>
  <c r="AD55" i="26"/>
  <c r="V11" i="27"/>
  <c r="AH15" i="26"/>
  <c r="AH56" i="26" s="1"/>
  <c r="AD56" i="26"/>
  <c r="AE8" i="26"/>
  <c r="I55" i="26"/>
  <c r="F33" i="22"/>
  <c r="F31" i="22" s="1"/>
  <c r="V17" i="24"/>
  <c r="AI9" i="26"/>
  <c r="AE24" i="26"/>
  <c r="AI24" i="26" s="1"/>
  <c r="Y44" i="26"/>
  <c r="AE16" i="26"/>
  <c r="AI16" i="26" s="1"/>
  <c r="U44" i="26"/>
  <c r="AE20" i="26"/>
  <c r="AI20" i="26" s="1"/>
  <c r="I44" i="26"/>
  <c r="AE27" i="26"/>
  <c r="AI27" i="26" s="1"/>
  <c r="H12" i="29"/>
  <c r="H10" i="29"/>
  <c r="H8" i="29"/>
  <c r="D27" i="50" l="1"/>
  <c r="E27" i="50" s="1"/>
  <c r="F27" i="50" s="1"/>
  <c r="G27" i="50" s="1"/>
  <c r="H27" i="50" s="1"/>
  <c r="I27" i="50" s="1"/>
  <c r="J27" i="50" s="1"/>
  <c r="K27" i="50" s="1"/>
  <c r="L27" i="50" s="1"/>
  <c r="M27" i="50" s="1"/>
  <c r="N27" i="50" s="1"/>
  <c r="AI15" i="26"/>
  <c r="AI56" i="26" s="1"/>
  <c r="AE56" i="26"/>
  <c r="C33" i="45"/>
  <c r="D33" i="45" s="1"/>
  <c r="E33" i="45" s="1"/>
  <c r="F33" i="45" s="1"/>
  <c r="G33" i="45" s="1"/>
  <c r="H33" i="45" s="1"/>
  <c r="I33" i="45" s="1"/>
  <c r="J33" i="45" s="1"/>
  <c r="K33" i="45" s="1"/>
  <c r="L33" i="45" s="1"/>
  <c r="M33" i="45" s="1"/>
  <c r="H14" i="29"/>
  <c r="V8" i="29"/>
  <c r="H13" i="29"/>
  <c r="I8" i="29"/>
  <c r="I10" i="29"/>
  <c r="Y10" i="29" s="1"/>
  <c r="V10" i="29"/>
  <c r="V12" i="29"/>
  <c r="I12" i="29"/>
  <c r="Y12" i="29" s="1"/>
  <c r="AI8" i="26"/>
  <c r="AI55" i="26" s="1"/>
  <c r="AE55" i="26"/>
  <c r="AE44" i="26"/>
  <c r="AE46" i="26" s="1"/>
  <c r="AI44" i="26"/>
  <c r="H11" i="28"/>
  <c r="H7" i="28"/>
  <c r="I7" i="28" s="1"/>
  <c r="Y8" i="29" l="1"/>
  <c r="I14" i="29"/>
  <c r="I13" i="29"/>
  <c r="H16" i="28"/>
  <c r="H14" i="28"/>
  <c r="N33" i="45"/>
  <c r="O27" i="50"/>
  <c r="V13" i="29"/>
  <c r="V14" i="29"/>
  <c r="H15" i="28"/>
  <c r="I11" i="28"/>
  <c r="AH8" i="26"/>
  <c r="AH9" i="26"/>
  <c r="Y11" i="28" l="1"/>
  <c r="I15" i="28"/>
  <c r="I16" i="28"/>
  <c r="I65" i="26" s="1"/>
  <c r="AE65" i="26" s="1"/>
  <c r="I14" i="28"/>
  <c r="Y14" i="28" s="1"/>
  <c r="Y7" i="28"/>
  <c r="Y16" i="28" s="1"/>
  <c r="Y14" i="29"/>
  <c r="Y13" i="29"/>
  <c r="AD62" i="26"/>
  <c r="AH62" i="26" s="1"/>
  <c r="H58" i="26"/>
  <c r="F58" i="26"/>
  <c r="D58" i="26"/>
  <c r="H59" i="26"/>
  <c r="F59" i="26"/>
  <c r="D59" i="26"/>
  <c r="AE70" i="26" l="1"/>
  <c r="AI65" i="26"/>
  <c r="AI70" i="26" s="1"/>
  <c r="I64" i="26"/>
  <c r="Y15" i="28"/>
  <c r="D57" i="26"/>
  <c r="AD59" i="26"/>
  <c r="AD69" i="26" s="1"/>
  <c r="D53" i="26"/>
  <c r="T8" i="23"/>
  <c r="T7" i="23"/>
  <c r="AE64" i="26" l="1"/>
  <c r="AI64" i="26" s="1"/>
  <c r="AH59" i="26"/>
  <c r="V10" i="28"/>
  <c r="AG58" i="26" l="1"/>
  <c r="W8" i="23" l="1"/>
  <c r="E14" i="25" l="1"/>
  <c r="F14" i="25"/>
  <c r="G14" i="25"/>
  <c r="H14" i="25"/>
  <c r="I14" i="25"/>
  <c r="J14" i="25"/>
  <c r="K14" i="25"/>
  <c r="L14" i="25"/>
  <c r="M14" i="25"/>
  <c r="N14" i="25"/>
  <c r="O14" i="25"/>
  <c r="P14" i="25"/>
  <c r="Q14" i="25"/>
  <c r="D14" i="25"/>
  <c r="V15" i="29"/>
  <c r="W15" i="29"/>
  <c r="X15" i="29"/>
  <c r="Y15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D15" i="29"/>
  <c r="E61" i="26"/>
  <c r="E68" i="26" s="1"/>
  <c r="F61" i="26"/>
  <c r="G61" i="26"/>
  <c r="G68" i="26" s="1"/>
  <c r="H61" i="26"/>
  <c r="I61" i="26"/>
  <c r="I68" i="26" s="1"/>
  <c r="T61" i="26"/>
  <c r="D61" i="26"/>
  <c r="T14" i="25" l="1"/>
  <c r="E30" i="22"/>
  <c r="F30" i="22"/>
  <c r="U14" i="25"/>
  <c r="AE61" i="26"/>
  <c r="AI61" i="26" s="1"/>
  <c r="AI68" i="26" s="1"/>
  <c r="AD61" i="26"/>
  <c r="AH61" i="26" s="1"/>
  <c r="F28" i="22" l="1"/>
  <c r="F37" i="22"/>
  <c r="AE68" i="26"/>
  <c r="AE71" i="26" s="1"/>
  <c r="E28" i="22"/>
  <c r="E37" i="22"/>
  <c r="AH7" i="26"/>
  <c r="AH55" i="26" s="1"/>
  <c r="AC22" i="22"/>
  <c r="AC38" i="22" s="1"/>
  <c r="E53" i="26" l="1"/>
  <c r="AC30" i="22" l="1"/>
  <c r="AC29" i="22"/>
  <c r="AC27" i="22"/>
  <c r="AA22" i="22"/>
  <c r="AA38" i="22" s="1"/>
  <c r="AC28" i="22" l="1"/>
  <c r="AA26" i="22"/>
  <c r="AB30" i="22" l="1"/>
  <c r="AB29" i="22"/>
  <c r="AA30" i="22"/>
  <c r="AA28" i="22" s="1"/>
  <c r="AB28" i="22" l="1"/>
  <c r="AG69" i="26"/>
  <c r="AA69" i="26"/>
  <c r="Y69" i="26"/>
  <c r="W69" i="26"/>
  <c r="U69" i="26"/>
  <c r="S69" i="26"/>
  <c r="Q69" i="26"/>
  <c r="O69" i="26"/>
  <c r="M69" i="26"/>
  <c r="K69" i="26"/>
  <c r="I69" i="26"/>
  <c r="AA70" i="26"/>
  <c r="W70" i="26"/>
  <c r="U70" i="26"/>
  <c r="S70" i="26"/>
  <c r="Q70" i="26"/>
  <c r="O70" i="26"/>
  <c r="M70" i="26"/>
  <c r="K70" i="26"/>
  <c r="I70" i="26"/>
  <c r="G70" i="26"/>
  <c r="E70" i="26"/>
  <c r="Q63" i="26"/>
  <c r="O63" i="26"/>
  <c r="M63" i="26"/>
  <c r="K63" i="26"/>
  <c r="L60" i="26"/>
  <c r="M60" i="26"/>
  <c r="N60" i="26"/>
  <c r="O60" i="26"/>
  <c r="P60" i="26"/>
  <c r="Q60" i="26"/>
  <c r="R60" i="26"/>
  <c r="R66" i="26" s="1"/>
  <c r="S60" i="26"/>
  <c r="S66" i="26" s="1"/>
  <c r="U60" i="26"/>
  <c r="V60" i="26"/>
  <c r="W60" i="26"/>
  <c r="W66" i="26" s="1"/>
  <c r="X60" i="26"/>
  <c r="Y60" i="26"/>
  <c r="Y66" i="26" s="1"/>
  <c r="Z60" i="26"/>
  <c r="AA60" i="26"/>
  <c r="AA66" i="26" s="1"/>
  <c r="K60" i="26"/>
  <c r="I60" i="26"/>
  <c r="G60" i="26"/>
  <c r="E60" i="26"/>
  <c r="AG57" i="26"/>
  <c r="D10" i="39" s="1"/>
  <c r="U57" i="26"/>
  <c r="Q57" i="26"/>
  <c r="O57" i="26"/>
  <c r="K57" i="26"/>
  <c r="AA71" i="26" l="1"/>
  <c r="D70" i="36" s="1"/>
  <c r="C30" i="50"/>
  <c r="O30" i="50" s="1"/>
  <c r="C33" i="42"/>
  <c r="D33" i="42" s="1"/>
  <c r="E33" i="42" s="1"/>
  <c r="F33" i="42" s="1"/>
  <c r="B32" i="45"/>
  <c r="N32" i="45" s="1"/>
  <c r="D69" i="36"/>
  <c r="D74" i="36" s="1"/>
  <c r="F35" i="52" s="1"/>
  <c r="K66" i="26"/>
  <c r="AE60" i="26"/>
  <c r="AI60" i="26" s="1"/>
  <c r="Q66" i="26"/>
  <c r="O66" i="26"/>
  <c r="K71" i="26"/>
  <c r="D55" i="36" s="1"/>
  <c r="F27" i="52" s="1"/>
  <c r="W71" i="26"/>
  <c r="D63" i="36" s="1"/>
  <c r="F30" i="52" s="1"/>
  <c r="O71" i="26"/>
  <c r="Q71" i="26"/>
  <c r="S71" i="26"/>
  <c r="E63" i="26"/>
  <c r="U8" i="24"/>
  <c r="U15" i="24" s="1"/>
  <c r="D36" i="48" l="1"/>
  <c r="E36" i="48" s="1"/>
  <c r="F36" i="48" s="1"/>
  <c r="G36" i="48" s="1"/>
  <c r="D80" i="36"/>
  <c r="D31" i="48"/>
  <c r="E31" i="48" s="1"/>
  <c r="F31" i="48" s="1"/>
  <c r="G31" i="48" s="1"/>
  <c r="C30" i="42"/>
  <c r="D30" i="42" s="1"/>
  <c r="E30" i="42" s="1"/>
  <c r="F30" i="42" s="1"/>
  <c r="B28" i="45"/>
  <c r="C25" i="50"/>
  <c r="C18" i="42"/>
  <c r="D18" i="42" s="1"/>
  <c r="E18" i="42" s="1"/>
  <c r="F18" i="42" s="1"/>
  <c r="B25" i="45"/>
  <c r="D28" i="48"/>
  <c r="E28" i="48" s="1"/>
  <c r="F28" i="48" s="1"/>
  <c r="G28" i="48" s="1"/>
  <c r="U17" i="24"/>
  <c r="I63" i="26"/>
  <c r="G63" i="26"/>
  <c r="U63" i="26"/>
  <c r="C25" i="45" l="1"/>
  <c r="D25" i="45" s="1"/>
  <c r="E25" i="45" s="1"/>
  <c r="F25" i="45" s="1"/>
  <c r="G25" i="45" s="1"/>
  <c r="H25" i="45" s="1"/>
  <c r="I25" i="45" s="1"/>
  <c r="J25" i="45" s="1"/>
  <c r="K25" i="45" s="1"/>
  <c r="L25" i="45" s="1"/>
  <c r="M25" i="45" s="1"/>
  <c r="D25" i="50"/>
  <c r="E25" i="50" s="1"/>
  <c r="F25" i="50" s="1"/>
  <c r="G25" i="50" s="1"/>
  <c r="H25" i="50" s="1"/>
  <c r="I25" i="50" s="1"/>
  <c r="J25" i="50" s="1"/>
  <c r="K25" i="50" s="1"/>
  <c r="L25" i="50" s="1"/>
  <c r="M25" i="50" s="1"/>
  <c r="N25" i="50" s="1"/>
  <c r="C28" i="45"/>
  <c r="D28" i="45" s="1"/>
  <c r="E28" i="45" s="1"/>
  <c r="F28" i="45" s="1"/>
  <c r="G28" i="45" s="1"/>
  <c r="H28" i="45" s="1"/>
  <c r="I28" i="45" s="1"/>
  <c r="J28" i="45" s="1"/>
  <c r="K28" i="45" s="1"/>
  <c r="L28" i="45" s="1"/>
  <c r="M28" i="45" s="1"/>
  <c r="AE63" i="26"/>
  <c r="U66" i="26"/>
  <c r="AG64" i="26"/>
  <c r="AG68" i="26" s="1"/>
  <c r="AG65" i="26"/>
  <c r="AG70" i="26" s="1"/>
  <c r="AB33" i="22"/>
  <c r="AB37" i="22" s="1"/>
  <c r="M57" i="26"/>
  <c r="M66" i="26" s="1"/>
  <c r="G69" i="26"/>
  <c r="AE66" i="26" l="1"/>
  <c r="AI63" i="26"/>
  <c r="AI66" i="26" s="1"/>
  <c r="N25" i="45"/>
  <c r="O25" i="50"/>
  <c r="N28" i="45"/>
  <c r="AG63" i="26"/>
  <c r="AG71" i="26"/>
  <c r="AC32" i="22"/>
  <c r="AB32" i="22"/>
  <c r="AC33" i="22"/>
  <c r="G57" i="26"/>
  <c r="G66" i="26" s="1"/>
  <c r="I57" i="26"/>
  <c r="I66" i="26" s="1"/>
  <c r="I71" i="26"/>
  <c r="D54" i="36" s="1"/>
  <c r="F26" i="52" s="1"/>
  <c r="E69" i="26"/>
  <c r="E57" i="26"/>
  <c r="E66" i="26" s="1"/>
  <c r="U10" i="23"/>
  <c r="W10" i="23"/>
  <c r="W7" i="23"/>
  <c r="W11" i="23" s="1"/>
  <c r="U7" i="23"/>
  <c r="U11" i="23" s="1"/>
  <c r="V7" i="23"/>
  <c r="V11" i="23" s="1"/>
  <c r="R11" i="23"/>
  <c r="S11" i="23"/>
  <c r="R10" i="23"/>
  <c r="S10" i="23"/>
  <c r="R9" i="23"/>
  <c r="S9" i="23"/>
  <c r="Q9" i="23"/>
  <c r="Q10" i="23"/>
  <c r="Q11" i="23"/>
  <c r="O9" i="23"/>
  <c r="O10" i="23"/>
  <c r="O11" i="23"/>
  <c r="M9" i="23"/>
  <c r="M10" i="23"/>
  <c r="M11" i="23"/>
  <c r="K9" i="23"/>
  <c r="K10" i="23"/>
  <c r="K11" i="23"/>
  <c r="I9" i="23"/>
  <c r="I10" i="23"/>
  <c r="I11" i="23"/>
  <c r="G9" i="23"/>
  <c r="G10" i="23"/>
  <c r="G11" i="23"/>
  <c r="E9" i="23"/>
  <c r="E10" i="23"/>
  <c r="F25" i="22" s="1"/>
  <c r="F36" i="22" s="1"/>
  <c r="F39" i="22" s="1"/>
  <c r="E11" i="23"/>
  <c r="W7" i="29"/>
  <c r="X7" i="29"/>
  <c r="X14" i="29" l="1"/>
  <c r="X13" i="29"/>
  <c r="W14" i="29"/>
  <c r="W13" i="29"/>
  <c r="D27" i="48"/>
  <c r="B24" i="45"/>
  <c r="C17" i="42"/>
  <c r="C24" i="50"/>
  <c r="D12" i="39"/>
  <c r="AC31" i="22"/>
  <c r="AB31" i="22"/>
  <c r="AB36" i="22"/>
  <c r="AB39" i="22" s="1"/>
  <c r="AB25" i="22"/>
  <c r="AB24" i="22" s="1"/>
  <c r="F24" i="22"/>
  <c r="F34" i="22" s="1"/>
  <c r="D32" i="36" s="1"/>
  <c r="F10" i="52" s="1"/>
  <c r="F21" i="52" s="1"/>
  <c r="AC25" i="22"/>
  <c r="U71" i="26"/>
  <c r="D61" i="36" s="1"/>
  <c r="F29" i="52" s="1"/>
  <c r="M71" i="26"/>
  <c r="D56" i="36" s="1"/>
  <c r="F28" i="52" s="1"/>
  <c r="AC26" i="22"/>
  <c r="AC37" i="22" s="1"/>
  <c r="W9" i="23"/>
  <c r="AC24" i="22" l="1"/>
  <c r="B26" i="45"/>
  <c r="C26" i="50"/>
  <c r="C19" i="42"/>
  <c r="D19" i="42" s="1"/>
  <c r="E19" i="42" s="1"/>
  <c r="F19" i="42" s="1"/>
  <c r="D29" i="48"/>
  <c r="E29" i="48" s="1"/>
  <c r="F29" i="48" s="1"/>
  <c r="G29" i="48" s="1"/>
  <c r="AC36" i="22"/>
  <c r="AC39" i="22" s="1"/>
  <c r="D17" i="42"/>
  <c r="E27" i="48"/>
  <c r="D60" i="36"/>
  <c r="D30" i="48"/>
  <c r="E30" i="48" s="1"/>
  <c r="F30" i="48" s="1"/>
  <c r="G30" i="48" s="1"/>
  <c r="B27" i="45"/>
  <c r="C29" i="42"/>
  <c r="C24" i="45"/>
  <c r="D24" i="45" s="1"/>
  <c r="E24" i="45" s="1"/>
  <c r="F24" i="45" s="1"/>
  <c r="G24" i="45" s="1"/>
  <c r="H24" i="45" s="1"/>
  <c r="I24" i="45" s="1"/>
  <c r="J24" i="45" s="1"/>
  <c r="K24" i="45" s="1"/>
  <c r="L24" i="45" s="1"/>
  <c r="M24" i="45" s="1"/>
  <c r="D24" i="50"/>
  <c r="C13" i="50"/>
  <c r="C17" i="50" s="1"/>
  <c r="C19" i="50" s="1"/>
  <c r="D11" i="48"/>
  <c r="D36" i="36"/>
  <c r="D45" i="36" s="1"/>
  <c r="B10" i="45"/>
  <c r="AC34" i="22"/>
  <c r="AB34" i="22"/>
  <c r="N24" i="45" l="1"/>
  <c r="D26" i="50"/>
  <c r="E26" i="50" s="1"/>
  <c r="F26" i="50" s="1"/>
  <c r="G26" i="50" s="1"/>
  <c r="H26" i="50" s="1"/>
  <c r="I26" i="50" s="1"/>
  <c r="J26" i="50" s="1"/>
  <c r="K26" i="50" s="1"/>
  <c r="L26" i="50" s="1"/>
  <c r="M26" i="50" s="1"/>
  <c r="N26" i="50" s="1"/>
  <c r="C26" i="45"/>
  <c r="D26" i="45" s="1"/>
  <c r="E26" i="45" s="1"/>
  <c r="F26" i="45" s="1"/>
  <c r="G26" i="45" s="1"/>
  <c r="H26" i="45" s="1"/>
  <c r="I26" i="45" s="1"/>
  <c r="J26" i="45" s="1"/>
  <c r="K26" i="45" s="1"/>
  <c r="L26" i="45" s="1"/>
  <c r="M26" i="45" s="1"/>
  <c r="D13" i="50"/>
  <c r="D17" i="50" s="1"/>
  <c r="D29" i="42"/>
  <c r="C34" i="42"/>
  <c r="E24" i="50"/>
  <c r="C27" i="45"/>
  <c r="D27" i="45" s="1"/>
  <c r="E27" i="45" s="1"/>
  <c r="F27" i="45" s="1"/>
  <c r="G27" i="45" s="1"/>
  <c r="H27" i="45" s="1"/>
  <c r="I27" i="45" s="1"/>
  <c r="J27" i="45" s="1"/>
  <c r="K27" i="45" s="1"/>
  <c r="L27" i="45" s="1"/>
  <c r="M27" i="45" s="1"/>
  <c r="F27" i="48"/>
  <c r="C28" i="50"/>
  <c r="E17" i="42"/>
  <c r="D22" i="48"/>
  <c r="E11" i="48"/>
  <c r="C10" i="45"/>
  <c r="D10" i="45" s="1"/>
  <c r="E10" i="45" s="1"/>
  <c r="F10" i="45" s="1"/>
  <c r="G10" i="45" s="1"/>
  <c r="H10" i="45" s="1"/>
  <c r="I10" i="45" s="1"/>
  <c r="J10" i="45" s="1"/>
  <c r="K10" i="45" s="1"/>
  <c r="L10" i="45" s="1"/>
  <c r="M10" i="45" s="1"/>
  <c r="G71" i="26"/>
  <c r="D53" i="36" s="1"/>
  <c r="F25" i="52" s="1"/>
  <c r="E71" i="26"/>
  <c r="D52" i="36" s="1"/>
  <c r="F24" i="52" s="1"/>
  <c r="F36" i="52" l="1"/>
  <c r="D25" i="48"/>
  <c r="B22" i="45"/>
  <c r="C15" i="42"/>
  <c r="C22" i="50"/>
  <c r="D51" i="36"/>
  <c r="D68" i="36" s="1"/>
  <c r="B23" i="45"/>
  <c r="D26" i="48"/>
  <c r="E26" i="48" s="1"/>
  <c r="F26" i="48" s="1"/>
  <c r="G26" i="48" s="1"/>
  <c r="C23" i="50"/>
  <c r="C16" i="42"/>
  <c r="D16" i="42" s="1"/>
  <c r="E16" i="42" s="1"/>
  <c r="F16" i="42" s="1"/>
  <c r="O26" i="50"/>
  <c r="N26" i="45"/>
  <c r="E13" i="50"/>
  <c r="E17" i="50" s="1"/>
  <c r="C35" i="42"/>
  <c r="C36" i="42" s="1"/>
  <c r="F17" i="42"/>
  <c r="G27" i="48"/>
  <c r="F24" i="50"/>
  <c r="D28" i="50"/>
  <c r="N27" i="45"/>
  <c r="D34" i="42"/>
  <c r="D35" i="42" s="1"/>
  <c r="D36" i="42" s="1"/>
  <c r="E29" i="42"/>
  <c r="F11" i="48"/>
  <c r="E22" i="48"/>
  <c r="N10" i="45"/>
  <c r="Y70" i="26"/>
  <c r="Y71" i="26" s="1"/>
  <c r="AG60" i="26"/>
  <c r="C31" i="50" l="1"/>
  <c r="D23" i="50"/>
  <c r="E23" i="50" s="1"/>
  <c r="F23" i="50" s="1"/>
  <c r="G23" i="50" s="1"/>
  <c r="H23" i="50" s="1"/>
  <c r="I23" i="50" s="1"/>
  <c r="J23" i="50" s="1"/>
  <c r="K23" i="50" s="1"/>
  <c r="L23" i="50" s="1"/>
  <c r="M23" i="50" s="1"/>
  <c r="N23" i="50" s="1"/>
  <c r="D22" i="50"/>
  <c r="E22" i="50" s="1"/>
  <c r="F22" i="50" s="1"/>
  <c r="G22" i="50" s="1"/>
  <c r="H22" i="50" s="1"/>
  <c r="I22" i="50" s="1"/>
  <c r="J22" i="50" s="1"/>
  <c r="K22" i="50" s="1"/>
  <c r="L22" i="50" s="1"/>
  <c r="M22" i="50" s="1"/>
  <c r="N22" i="50" s="1"/>
  <c r="D15" i="42"/>
  <c r="C21" i="42"/>
  <c r="C23" i="45"/>
  <c r="D23" i="45" s="1"/>
  <c r="E23" i="45" s="1"/>
  <c r="F23" i="45" s="1"/>
  <c r="G23" i="45" s="1"/>
  <c r="H23" i="45" s="1"/>
  <c r="I23" i="45" s="1"/>
  <c r="J23" i="45" s="1"/>
  <c r="K23" i="45" s="1"/>
  <c r="L23" i="45" s="1"/>
  <c r="M23" i="45" s="1"/>
  <c r="C22" i="45"/>
  <c r="D22" i="45" s="1"/>
  <c r="E22" i="45" s="1"/>
  <c r="F22" i="45" s="1"/>
  <c r="G22" i="45" s="1"/>
  <c r="H22" i="45" s="1"/>
  <c r="I22" i="45" s="1"/>
  <c r="J22" i="45" s="1"/>
  <c r="K22" i="45" s="1"/>
  <c r="L22" i="45" s="1"/>
  <c r="M22" i="45" s="1"/>
  <c r="D11" i="39"/>
  <c r="D13" i="39" s="1"/>
  <c r="AG66" i="26"/>
  <c r="B35" i="45" s="1"/>
  <c r="D75" i="36"/>
  <c r="D79" i="36"/>
  <c r="E25" i="48"/>
  <c r="D37" i="48"/>
  <c r="F13" i="50"/>
  <c r="F17" i="50" s="1"/>
  <c r="E28" i="50"/>
  <c r="F29" i="42"/>
  <c r="F34" i="42" s="1"/>
  <c r="E34" i="42"/>
  <c r="G24" i="50"/>
  <c r="G11" i="48"/>
  <c r="F22" i="48"/>
  <c r="G22" i="48" s="1"/>
  <c r="T60" i="26"/>
  <c r="D7" i="50" l="1"/>
  <c r="D19" i="50" s="1"/>
  <c r="C33" i="50"/>
  <c r="N23" i="45"/>
  <c r="D31" i="50"/>
  <c r="C22" i="42"/>
  <c r="C23" i="42" s="1"/>
  <c r="C38" i="42" s="1"/>
  <c r="C39" i="42"/>
  <c r="N22" i="45"/>
  <c r="E15" i="42"/>
  <c r="D21" i="42"/>
  <c r="O23" i="50"/>
  <c r="C35" i="45"/>
  <c r="D35" i="45" s="1"/>
  <c r="E35" i="45" s="1"/>
  <c r="F35" i="45" s="1"/>
  <c r="G35" i="45" s="1"/>
  <c r="H35" i="45" s="1"/>
  <c r="I35" i="45" s="1"/>
  <c r="J35" i="45" s="1"/>
  <c r="K35" i="45" s="1"/>
  <c r="L35" i="45" s="1"/>
  <c r="M35" i="45" s="1"/>
  <c r="F25" i="48"/>
  <c r="E37" i="48"/>
  <c r="O22" i="50"/>
  <c r="G13" i="50"/>
  <c r="G17" i="50" s="1"/>
  <c r="H24" i="50"/>
  <c r="F28" i="50"/>
  <c r="E31" i="50"/>
  <c r="E35" i="42"/>
  <c r="E36" i="42" s="1"/>
  <c r="F35" i="42"/>
  <c r="F36" i="42" s="1"/>
  <c r="F11" i="23"/>
  <c r="H11" i="23"/>
  <c r="J11" i="23"/>
  <c r="L11" i="23"/>
  <c r="N11" i="23"/>
  <c r="P11" i="23"/>
  <c r="D11" i="23"/>
  <c r="D33" i="50" l="1"/>
  <c r="E7" i="50"/>
  <c r="E19" i="50" s="1"/>
  <c r="E33" i="50" s="1"/>
  <c r="N35" i="45"/>
  <c r="F15" i="42"/>
  <c r="F21" i="42" s="1"/>
  <c r="E21" i="42"/>
  <c r="G25" i="48"/>
  <c r="F37" i="48"/>
  <c r="G37" i="48" s="1"/>
  <c r="D22" i="42"/>
  <c r="D23" i="42" s="1"/>
  <c r="D38" i="42" s="1"/>
  <c r="D39" i="42"/>
  <c r="H13" i="50"/>
  <c r="H17" i="50" s="1"/>
  <c r="G28" i="50"/>
  <c r="F31" i="50"/>
  <c r="I24" i="50"/>
  <c r="AA27" i="22"/>
  <c r="F7" i="50" l="1"/>
  <c r="F19" i="50" s="1"/>
  <c r="F33" i="50" s="1"/>
  <c r="E22" i="42"/>
  <c r="E23" i="42" s="1"/>
  <c r="E38" i="42" s="1"/>
  <c r="E39" i="42"/>
  <c r="F22" i="42"/>
  <c r="F23" i="42" s="1"/>
  <c r="F38" i="42" s="1"/>
  <c r="F39" i="42"/>
  <c r="I13" i="50"/>
  <c r="I17" i="50" s="1"/>
  <c r="J24" i="50"/>
  <c r="H28" i="50"/>
  <c r="G31" i="50"/>
  <c r="R70" i="26"/>
  <c r="G7" i="50" l="1"/>
  <c r="G19" i="50" s="1"/>
  <c r="G33" i="50" s="1"/>
  <c r="J13" i="50"/>
  <c r="J17" i="50" s="1"/>
  <c r="I28" i="50"/>
  <c r="H31" i="50"/>
  <c r="K24" i="50"/>
  <c r="F69" i="26"/>
  <c r="H69" i="26"/>
  <c r="J69" i="26"/>
  <c r="L69" i="26"/>
  <c r="N69" i="26"/>
  <c r="P69" i="26"/>
  <c r="R69" i="26"/>
  <c r="R71" i="26" s="1"/>
  <c r="T69" i="26"/>
  <c r="V69" i="26"/>
  <c r="X69" i="26"/>
  <c r="Z69" i="26"/>
  <c r="H7" i="50" l="1"/>
  <c r="H19" i="50" s="1"/>
  <c r="H33" i="50" s="1"/>
  <c r="K13" i="50"/>
  <c r="K17" i="50" s="1"/>
  <c r="L24" i="50"/>
  <c r="J28" i="50"/>
  <c r="I31" i="50"/>
  <c r="AF69" i="26"/>
  <c r="D69" i="26"/>
  <c r="I7" i="50" l="1"/>
  <c r="I19" i="50" s="1"/>
  <c r="I33" i="50" s="1"/>
  <c r="L13" i="50"/>
  <c r="L17" i="50" s="1"/>
  <c r="K28" i="50"/>
  <c r="J31" i="50"/>
  <c r="M24" i="50"/>
  <c r="T65" i="26"/>
  <c r="F65" i="26"/>
  <c r="F70" i="26" s="1"/>
  <c r="D65" i="26"/>
  <c r="T64" i="26"/>
  <c r="H64" i="26"/>
  <c r="H68" i="26" s="1"/>
  <c r="F64" i="26"/>
  <c r="F68" i="26" s="1"/>
  <c r="D64" i="26"/>
  <c r="D68" i="26" s="1"/>
  <c r="V12" i="28"/>
  <c r="V11" i="28"/>
  <c r="V8" i="28"/>
  <c r="V15" i="28" s="1"/>
  <c r="X7" i="28"/>
  <c r="V7" i="28"/>
  <c r="AA33" i="22"/>
  <c r="AA37" i="22" s="1"/>
  <c r="T58" i="26"/>
  <c r="AF63" i="26"/>
  <c r="Z63" i="26"/>
  <c r="X63" i="26"/>
  <c r="V63" i="26"/>
  <c r="P63" i="26"/>
  <c r="N63" i="26"/>
  <c r="L63" i="26"/>
  <c r="J63" i="26"/>
  <c r="AF60" i="26"/>
  <c r="J60" i="26"/>
  <c r="H60" i="26"/>
  <c r="F60" i="26"/>
  <c r="D60" i="26"/>
  <c r="AF57" i="26"/>
  <c r="Z57" i="26"/>
  <c r="X57" i="26"/>
  <c r="V57" i="26"/>
  <c r="P57" i="26"/>
  <c r="N57" i="26"/>
  <c r="L57" i="26"/>
  <c r="J57" i="26"/>
  <c r="H57" i="26"/>
  <c r="F57" i="26"/>
  <c r="AF70" i="26"/>
  <c r="V70" i="26"/>
  <c r="P70" i="26"/>
  <c r="N70" i="26"/>
  <c r="J70" i="26"/>
  <c r="D70" i="26"/>
  <c r="L70" i="26"/>
  <c r="X70" i="26"/>
  <c r="N10" i="23"/>
  <c r="L10" i="23"/>
  <c r="J10" i="23"/>
  <c r="H10" i="23"/>
  <c r="F10" i="23"/>
  <c r="G25" i="22" s="1"/>
  <c r="D10" i="23"/>
  <c r="E25" i="22" s="1"/>
  <c r="E36" i="22" s="1"/>
  <c r="E39" i="22" s="1"/>
  <c r="N9" i="23"/>
  <c r="L9" i="23"/>
  <c r="J9" i="23"/>
  <c r="H9" i="23"/>
  <c r="F9" i="23"/>
  <c r="V8" i="23"/>
  <c r="V10" i="23" s="1"/>
  <c r="P10" i="23"/>
  <c r="T11" i="23"/>
  <c r="J7" i="50" l="1"/>
  <c r="J19" i="50" s="1"/>
  <c r="J33" i="50" s="1"/>
  <c r="N66" i="26"/>
  <c r="Z66" i="26"/>
  <c r="T57" i="26"/>
  <c r="T68" i="26"/>
  <c r="V16" i="28"/>
  <c r="V14" i="28"/>
  <c r="G36" i="22"/>
  <c r="G39" i="22" s="1"/>
  <c r="G24" i="22"/>
  <c r="G34" i="22" s="1"/>
  <c r="X16" i="28"/>
  <c r="X14" i="28"/>
  <c r="M13" i="50"/>
  <c r="M17" i="50" s="1"/>
  <c r="N24" i="50"/>
  <c r="L28" i="50"/>
  <c r="K31" i="50"/>
  <c r="AD60" i="26"/>
  <c r="AH60" i="26" s="1"/>
  <c r="E24" i="22"/>
  <c r="E34" i="22" s="1"/>
  <c r="C32" i="36" s="1"/>
  <c r="AA25" i="22"/>
  <c r="AA24" i="22" s="1"/>
  <c r="L66" i="26"/>
  <c r="X66" i="26"/>
  <c r="P66" i="26"/>
  <c r="AF66" i="26"/>
  <c r="T63" i="26"/>
  <c r="J66" i="26"/>
  <c r="V66" i="26"/>
  <c r="L71" i="26"/>
  <c r="Z70" i="26"/>
  <c r="Z71" i="26" s="1"/>
  <c r="C70" i="36" s="1"/>
  <c r="C69" i="36" s="1"/>
  <c r="C74" i="36" s="1"/>
  <c r="C80" i="36" s="1"/>
  <c r="T70" i="26"/>
  <c r="D63" i="26"/>
  <c r="D66" i="26" s="1"/>
  <c r="F63" i="26"/>
  <c r="F66" i="26" s="1"/>
  <c r="AD64" i="26"/>
  <c r="AH64" i="26" s="1"/>
  <c r="AD58" i="26"/>
  <c r="AA32" i="22"/>
  <c r="AA36" i="22" s="1"/>
  <c r="AF71" i="26"/>
  <c r="P71" i="26"/>
  <c r="H65" i="26"/>
  <c r="H63" i="26" s="1"/>
  <c r="H66" i="26" s="1"/>
  <c r="T10" i="23"/>
  <c r="P9" i="23"/>
  <c r="K7" i="50" l="1"/>
  <c r="K19" i="50" s="1"/>
  <c r="K33" i="50" s="1"/>
  <c r="AD68" i="26"/>
  <c r="N13" i="50"/>
  <c r="N17" i="50" s="1"/>
  <c r="O17" i="50" s="1"/>
  <c r="M28" i="50"/>
  <c r="L31" i="50"/>
  <c r="O24" i="50"/>
  <c r="C36" i="36"/>
  <c r="C45" i="36" s="1"/>
  <c r="AA31" i="22"/>
  <c r="AA39" i="22"/>
  <c r="V71" i="26"/>
  <c r="C63" i="36" s="1"/>
  <c r="T66" i="26"/>
  <c r="X71" i="26"/>
  <c r="C57" i="36" s="1"/>
  <c r="N71" i="26"/>
  <c r="C56" i="36" s="1"/>
  <c r="J71" i="26"/>
  <c r="C55" i="36" s="1"/>
  <c r="H70" i="26"/>
  <c r="AD63" i="26"/>
  <c r="AH63" i="26" s="1"/>
  <c r="D71" i="26"/>
  <c r="C52" i="36" s="1"/>
  <c r="T71" i="26"/>
  <c r="F71" i="26"/>
  <c r="C53" i="36" s="1"/>
  <c r="AH58" i="26"/>
  <c r="AH68" i="26" s="1"/>
  <c r="AD57" i="26"/>
  <c r="AH57" i="26" s="1"/>
  <c r="AD65" i="26"/>
  <c r="AH65" i="26" s="1"/>
  <c r="AH70" i="26" s="1"/>
  <c r="T9" i="23"/>
  <c r="L7" i="50" l="1"/>
  <c r="L19" i="50" s="1"/>
  <c r="L33" i="50" s="1"/>
  <c r="T73" i="26"/>
  <c r="C61" i="36"/>
  <c r="C60" i="36" s="1"/>
  <c r="O13" i="50"/>
  <c r="N28" i="50"/>
  <c r="M31" i="50"/>
  <c r="AD70" i="26"/>
  <c r="AD71" i="26" s="1"/>
  <c r="AH66" i="26"/>
  <c r="AD66" i="26"/>
  <c r="H71" i="26"/>
  <c r="C54" i="36" s="1"/>
  <c r="C51" i="36" s="1"/>
  <c r="AA34" i="22"/>
  <c r="B34" i="45"/>
  <c r="B20" i="45"/>
  <c r="N20" i="45"/>
  <c r="D20" i="45"/>
  <c r="K20" i="45"/>
  <c r="L20" i="45"/>
  <c r="I20" i="45"/>
  <c r="E20" i="45"/>
  <c r="C20" i="45"/>
  <c r="J20" i="45"/>
  <c r="H20" i="45"/>
  <c r="F20" i="45"/>
  <c r="M20" i="45"/>
  <c r="G20" i="45"/>
  <c r="I34" i="45"/>
  <c r="E34" i="45"/>
  <c r="M34" i="45"/>
  <c r="J34" i="45"/>
  <c r="L34" i="45"/>
  <c r="G34" i="45"/>
  <c r="K34" i="45"/>
  <c r="H34" i="45"/>
  <c r="D34" i="45"/>
  <c r="F34" i="45"/>
  <c r="C34" i="45"/>
  <c r="C68" i="36" l="1"/>
  <c r="C75" i="36" s="1"/>
  <c r="M7" i="50"/>
  <c r="M19" i="50" s="1"/>
  <c r="M33" i="50" s="1"/>
  <c r="O28" i="50"/>
  <c r="N31" i="50"/>
  <c r="O31" i="50" s="1"/>
  <c r="N34" i="45"/>
  <c r="C79" i="36" l="1"/>
  <c r="N7" i="50"/>
  <c r="N19" i="50" s="1"/>
  <c r="N33" i="5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P7" authorId="0" shapeId="0" xr:uid="{D4D45A5F-24A8-4952-BFE6-D3FE3C004241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2 EGYÜTT</t>
        </r>
      </text>
    </comment>
  </commentList>
</comments>
</file>

<file path=xl/sharedStrings.xml><?xml version="1.0" encoding="utf-8"?>
<sst xmlns="http://schemas.openxmlformats.org/spreadsheetml/2006/main" count="1489" uniqueCount="605">
  <si>
    <t>Bevételi jogcímek</t>
  </si>
  <si>
    <t>1.</t>
  </si>
  <si>
    <t>Sor-
szám</t>
  </si>
  <si>
    <t>2.</t>
  </si>
  <si>
    <t>3.</t>
  </si>
  <si>
    <t>Önkormányzatok működési támogatásai (1.1+……+1.6.)</t>
  </si>
  <si>
    <t>4.</t>
  </si>
  <si>
    <t>Közhatalmi bevételek (4.1+4.2.+4.3.+4.4.)</t>
  </si>
  <si>
    <t>5.</t>
  </si>
  <si>
    <t>Elvonások és befizetések bevételei</t>
  </si>
  <si>
    <t>2.2.-ből EU-s támogatás</t>
  </si>
  <si>
    <t>Működési célú támogatások ÁHT-n belülről (2.1+2.2.)</t>
  </si>
  <si>
    <t>Felhalmozási célú önkormányzati támogatások</t>
  </si>
  <si>
    <t>Egyéb felhalmozási célú támogatások</t>
  </si>
  <si>
    <t>3.2.-ből EU-s támogatás</t>
  </si>
  <si>
    <t>Felhalmozási célú támogatások ÁHT-n belülről (3.1.+3.2.)</t>
  </si>
  <si>
    <t>Helyi adók (4.1.1.+….+4.1.3)</t>
  </si>
  <si>
    <t>Értékesítési és forgalmi adók (iparűzési adó)</t>
  </si>
  <si>
    <t>Gépjárműadó</t>
  </si>
  <si>
    <t>Egyéb áruhasználati és szolgáltatási adók</t>
  </si>
  <si>
    <t>Egyéb közhatalmi bevételek</t>
  </si>
  <si>
    <t xml:space="preserve">Működési bevételek </t>
  </si>
  <si>
    <t>6.</t>
  </si>
  <si>
    <t>Felhalmozási bevételek</t>
  </si>
  <si>
    <t>7.</t>
  </si>
  <si>
    <t>8.</t>
  </si>
  <si>
    <t>Felhalmozási célú átvett pénzeszközök</t>
  </si>
  <si>
    <t>9.</t>
  </si>
  <si>
    <t>10.</t>
  </si>
  <si>
    <t>11.</t>
  </si>
  <si>
    <t>Belföldi értékpapírok bevételei</t>
  </si>
  <si>
    <t>12.</t>
  </si>
  <si>
    <t>13.</t>
  </si>
  <si>
    <t>Belföldi finanszírozás bevételei (13.1.+13.2.)</t>
  </si>
  <si>
    <t>Államháztartáson belüli megelőlegezések</t>
  </si>
  <si>
    <t>14.</t>
  </si>
  <si>
    <t>Külföldi finanszírozás bevételei</t>
  </si>
  <si>
    <t>15.</t>
  </si>
  <si>
    <t>Váltóbevételek</t>
  </si>
  <si>
    <t>Adóssághoz nem kapcsolódó származékos ügyletek bevételei</t>
  </si>
  <si>
    <t>17.</t>
  </si>
  <si>
    <t>FINANSZÍROZÁSI BEVÉTELEK ÖSSZESEN:(10.+…+16.)</t>
  </si>
  <si>
    <t>18.</t>
  </si>
  <si>
    <t>KÖLTSÉGVETÉSI ÉS FINANSZÍROZÁSI BEVÉTELEK
ÖSSZESEN: (9.+17.)</t>
  </si>
  <si>
    <t>KIADÁSOK</t>
  </si>
  <si>
    <t>Kiadási jogcímek</t>
  </si>
  <si>
    <t>Személyi juttatások</t>
  </si>
  <si>
    <t>Dologi kiadások</t>
  </si>
  <si>
    <t>Ellátottak pénzbeli juttatásai</t>
  </si>
  <si>
    <t>Egyéb működési célú kiadások</t>
  </si>
  <si>
    <t>Tartalékok</t>
  </si>
  <si>
    <t>1.11.-ből: Általános tartalék</t>
  </si>
  <si>
    <t xml:space="preserve">                 Céltartalék</t>
  </si>
  <si>
    <t>Beruházások</t>
  </si>
  <si>
    <t>2.1.-ből EU-s forrásból megvalósuló beruházás</t>
  </si>
  <si>
    <t>Felújítások</t>
  </si>
  <si>
    <t>Egyéb felhalmozási kiadások</t>
  </si>
  <si>
    <t>2.5.-ből Egyéb felhalmozási kiadás ÁHT-n belülre</t>
  </si>
  <si>
    <t xml:space="preserve">              Egyéb felhalmozási kiadás ÁHT-n kívülre</t>
  </si>
  <si>
    <t>Államháztartáson belüli megelőlegezések visszafizetése</t>
  </si>
  <si>
    <t>Külföldi finanszírozás kiadásai</t>
  </si>
  <si>
    <t>Adóssághoz nem kapcsolódó származékos  ügyletek</t>
  </si>
  <si>
    <t>Váltókiadások</t>
  </si>
  <si>
    <t>FINANSZÍROZÁSI KIADÁSOK ÖSSZESEN: (4.+…+9.)</t>
  </si>
  <si>
    <t>KIADÁSOK ÖSSZESEN: (3+10)</t>
  </si>
  <si>
    <t>KÖLTSÉGVETÉSI BEVÉTELEK ÖSSZESEN: (1+…+8)</t>
  </si>
  <si>
    <t>Bevétel</t>
  </si>
  <si>
    <t>Kiadás</t>
  </si>
  <si>
    <t>A</t>
  </si>
  <si>
    <t>C</t>
  </si>
  <si>
    <t>D</t>
  </si>
  <si>
    <t>E</t>
  </si>
  <si>
    <t>16.</t>
  </si>
  <si>
    <t>Közhatalmi bevételek</t>
  </si>
  <si>
    <t>Működési bevételek</t>
  </si>
  <si>
    <t>Működési célú átvett pénzeszközök</t>
  </si>
  <si>
    <t>B</t>
  </si>
  <si>
    <t>Megnevezés</t>
  </si>
  <si>
    <t>F</t>
  </si>
  <si>
    <t>Összesen:</t>
  </si>
  <si>
    <t>G</t>
  </si>
  <si>
    <t>H</t>
  </si>
  <si>
    <t>I</t>
  </si>
  <si>
    <t>J</t>
  </si>
  <si>
    <t>kötelező/nem kötelező</t>
  </si>
  <si>
    <t>Kiemelt előirányzatok</t>
  </si>
  <si>
    <t>Önkormányzatok működési támogatása</t>
  </si>
  <si>
    <t>Működési célú támogatások államháztartáson belülről</t>
  </si>
  <si>
    <t>Felhalmozási célú támogatások államháztartáson belülről</t>
  </si>
  <si>
    <t>Működési célra átvett pénzeszközök</t>
  </si>
  <si>
    <t>Finansízrozási bevételek</t>
  </si>
  <si>
    <t>Bevételek összesen</t>
  </si>
  <si>
    <t>2014. évi teljesítés</t>
  </si>
  <si>
    <t>kötelező</t>
  </si>
  <si>
    <t>nem kötelező</t>
  </si>
  <si>
    <t>Alaptevékenység bevételei összesen</t>
  </si>
  <si>
    <t>Kötelező feladatok:</t>
  </si>
  <si>
    <t>Nem kötelező:</t>
  </si>
  <si>
    <t>Kötelező</t>
  </si>
  <si>
    <t>Nem kötelező</t>
  </si>
  <si>
    <t>Összesen</t>
  </si>
  <si>
    <t>Kötelező mindösszesen:</t>
  </si>
  <si>
    <t>Nem kötelező mindösszesen:</t>
  </si>
  <si>
    <t>Mindösszesen:</t>
  </si>
  <si>
    <t>Felhalmozási célra átvett pénzeszközök</t>
  </si>
  <si>
    <t xml:space="preserve"> Finanszírozási bevételek - Támogatás működésre</t>
  </si>
  <si>
    <t>Szakfeladat</t>
  </si>
  <si>
    <t>Önkormányzati igazgatási tevékenység</t>
  </si>
  <si>
    <t>Alaptevékenység összesen</t>
  </si>
  <si>
    <t>Kötelező:</t>
  </si>
  <si>
    <t>L</t>
  </si>
  <si>
    <t>N</t>
  </si>
  <si>
    <t>P</t>
  </si>
  <si>
    <t>Kötelező/nem kötelező</t>
  </si>
  <si>
    <t xml:space="preserve">Időskorúak bentlakásos szoc. ell. </t>
  </si>
  <si>
    <t>Idősek nappali ellátása</t>
  </si>
  <si>
    <t>Szociális étkeztetés</t>
  </si>
  <si>
    <t>Házi segítségnyújtás</t>
  </si>
  <si>
    <t>Óvodai nevelés, ellátás</t>
  </si>
  <si>
    <t xml:space="preserve"> </t>
  </si>
  <si>
    <t>K</t>
  </si>
  <si>
    <t>Szociális hozzájárulási adó</t>
  </si>
  <si>
    <t>Önkormányzat által folyósított ellátások</t>
  </si>
  <si>
    <t>Egyéb működési célú kiadások ÁH-n kívülre</t>
  </si>
  <si>
    <t>Egyéb működési célú kiadás ÁH-n belülre</t>
  </si>
  <si>
    <t>Tartalék</t>
  </si>
  <si>
    <t>Finanszírozási kiadások</t>
  </si>
  <si>
    <t>Finanszírozási kiadás Ktgvetési szerveknek</t>
  </si>
  <si>
    <t>Kiadások összesen</t>
  </si>
  <si>
    <t>Kötelező/ nem kötelező</t>
  </si>
  <si>
    <t>Finanszíroszási kiadások</t>
  </si>
  <si>
    <t>ebből: közfoglalkoztatott:</t>
  </si>
  <si>
    <t xml:space="preserve">Engedélyezett létszám </t>
  </si>
  <si>
    <t>Államigazgatási feladatok</t>
  </si>
  <si>
    <t>Államigazgatási</t>
  </si>
  <si>
    <t>Egyéb működési célú kiadások Áht-n kívülre</t>
  </si>
  <si>
    <t>államigazg</t>
  </si>
  <si>
    <t>Államigazgatási:</t>
  </si>
  <si>
    <t>államigazgatási</t>
  </si>
  <si>
    <t>Költségvetési maradvány</t>
  </si>
  <si>
    <t>Állami támogatások és megelőlegezések  visszafizetése</t>
  </si>
  <si>
    <t>Államigazgatási mindösszesen:</t>
  </si>
  <si>
    <t>Család és gyermekjóléti szolgáltatás</t>
  </si>
  <si>
    <t>Egyéb Felhalmozási célú kiadás ÁH-n kívülre</t>
  </si>
  <si>
    <t>Egyéb Felhalmozási célú kiadás ÁH-n belülre</t>
  </si>
  <si>
    <t>Önkormányzat létszáma</t>
  </si>
  <si>
    <t>Polgármester</t>
  </si>
  <si>
    <t>Képviselő</t>
  </si>
  <si>
    <t>Elszámolásból származó bevételek</t>
  </si>
  <si>
    <t>Önkormányzatok felhalmozási támogatása</t>
  </si>
  <si>
    <t>Előző évi költségvetési maradvány igénybe vétele</t>
  </si>
  <si>
    <t>Elző évi költségvetési maradvány</t>
  </si>
  <si>
    <t>Előző évi költségvetési maradvány</t>
  </si>
  <si>
    <t>Minibölcsőde</t>
  </si>
  <si>
    <t>2020. 
mód ei.</t>
  </si>
  <si>
    <t>2020. évi eredeti ei.</t>
  </si>
  <si>
    <t>2020. évi bevétel</t>
  </si>
  <si>
    <t>Közmunkaprogramban részt vevő 2020.03.01-2021.02.28.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</si>
  <si>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</si>
  <si>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</si>
  <si>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</si>
  <si>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</si>
  <si>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</si>
  <si>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</si>
  <si>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</si>
  <si>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</si>
  <si>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</si>
  <si>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</si>
  <si>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</si>
  <si>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</si>
  <si>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</si>
  <si>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</si>
  <si>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35.</t>
  </si>
  <si>
    <t>36.</t>
  </si>
  <si>
    <t>37.</t>
  </si>
  <si>
    <t>38.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</si>
  <si>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</si>
  <si>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</si>
  <si>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</si>
  <si>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</si>
  <si>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</si>
  <si>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</si>
  <si>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</si>
  <si>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</si>
  <si>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</si>
  <si>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</si>
  <si>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</si>
  <si>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</si>
  <si>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</si>
  <si>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</si>
  <si>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</si>
  <si>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</si>
  <si>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</si>
  <si>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</si>
  <si>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</si>
  <si>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</si>
  <si>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</si>
  <si>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</si>
  <si>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</si>
  <si>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</si>
  <si>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</si>
  <si>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</si>
  <si>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</si>
  <si>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</si>
  <si>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</si>
  <si>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</si>
  <si>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</si>
  <si>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</si>
  <si>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</si>
  <si>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</si>
  <si>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</si>
  <si>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</si>
  <si>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M</t>
  </si>
  <si>
    <t>O</t>
  </si>
  <si>
    <t>R</t>
  </si>
  <si>
    <t>S</t>
  </si>
  <si>
    <t>T</t>
  </si>
  <si>
    <t>Sor szám</t>
  </si>
  <si>
    <t>2021. évi előirányzat</t>
  </si>
  <si>
    <t>2021. 
mód ei.</t>
  </si>
  <si>
    <t>2021. évi eredeti ei.</t>
  </si>
  <si>
    <t>2021. 
előirányzat</t>
  </si>
  <si>
    <t>2021 évi eredeti ei.</t>
  </si>
  <si>
    <t>Támogatási c. fin. Műveletek</t>
  </si>
  <si>
    <t>Hosszabb távú közfoglalkoztatott 2021.03.01-2021.08.31.</t>
  </si>
  <si>
    <t xml:space="preserve">Közalkalmazott </t>
  </si>
  <si>
    <t xml:space="preserve">Hosszabb távú közfoglalkoztatott </t>
  </si>
  <si>
    <t xml:space="preserve">Közmunkaprogramban részt vevő </t>
  </si>
  <si>
    <t>2021. előirányzat</t>
  </si>
  <si>
    <t>Egyéb működési célú támogatások bevételei(B16)</t>
  </si>
  <si>
    <t>Önkormányzati hivatal igazgatási tevékenysége(011130)</t>
  </si>
  <si>
    <t>Az önkormányzati vagyonnal való gazd.(013350)</t>
  </si>
  <si>
    <t>Támogatási c. finanszírozási műveletek (018030)</t>
  </si>
  <si>
    <t>Civil szervezetek működési támogatása(018030)</t>
  </si>
  <si>
    <t>Kistérségi társulásnak fizetendő díjak: ügyelet, belső ellenőrzés, tagdíj(018030)</t>
  </si>
  <si>
    <t>Hosszabb távú közfoglalkoztatás(041233)</t>
  </si>
  <si>
    <t>Szennyvíz- és ivóvízhálózat gördülő tervezés  beruházás+felújítás + ivóvízágazat 
befizetési kötelezettsége(052020)</t>
  </si>
  <si>
    <t>Településfejlesztési projektek TOP.5.2.1 Társad. Együttmüköd. (062020)</t>
  </si>
  <si>
    <t>Közvilágítás(64010)</t>
  </si>
  <si>
    <t>Önkormányzat üzemeltetési feladatok város-és községgazdálkodás feladatból(066020)</t>
  </si>
  <si>
    <t>Háziorvosi feladatok,  alapellátás(072111)</t>
  </si>
  <si>
    <t>Óvodai nevelés, ellátás működési TOP1.4.1 Bölcsőde férőhely kialakítása(091140)</t>
  </si>
  <si>
    <t>Gyermekétkeztetés köznevelési intézményben(096015)</t>
  </si>
  <si>
    <t>Gyermekétkeztetés bölcsödében(104035)</t>
  </si>
  <si>
    <t>Szünidei gyermekétkeztetés(104037)</t>
  </si>
  <si>
    <t>Köztemetés(107060)</t>
  </si>
  <si>
    <t>Települési támogatás kiadásai(107060)</t>
  </si>
  <si>
    <t>Lakhatási tám.(107060)</t>
  </si>
  <si>
    <t>Önkormányzat által saját hatáskörben adott más ellátás(107060)</t>
  </si>
  <si>
    <t>Éven túli célhitel törlesztése(900060)</t>
  </si>
  <si>
    <t>Cofog/Feladat</t>
  </si>
  <si>
    <t>Demens betegek tartós bentlakásos ellátása</t>
  </si>
  <si>
    <t>Támogatási célú finanszírozási műveletek</t>
  </si>
  <si>
    <t>Sajátos nevelési igényű gyermekek óvodai nevelésének, ellátásának szakmai feladatai</t>
  </si>
  <si>
    <t>Óvodai nevelés, ellátás működtetési feladatai</t>
  </si>
  <si>
    <t>Gyermekétkeztetés köznevelési intézményben</t>
  </si>
  <si>
    <t>Gyermekek bölcsődében és mini bölcsődében történő ellátása</t>
  </si>
  <si>
    <t>Gyermekétkeztetés bölcsődében, fogyatékosok nappali intézményében</t>
  </si>
  <si>
    <t>Csorvási Polgármesteri Hivatal 2021. évi kiadások kiemelt előirányzatonként
forintban</t>
  </si>
  <si>
    <t>Országgyűlési képviselőválasztás</t>
  </si>
  <si>
    <t>Országos és helyi népszavazással kapcsolatos tevékenységek</t>
  </si>
  <si>
    <t>Q</t>
  </si>
  <si>
    <t>Kamatmentes kölcsön</t>
  </si>
  <si>
    <t>Köztemető fenntartás(013320)</t>
  </si>
  <si>
    <t>Növénytermesztés, állattenyésztés és kapcsolódó szolgáltatások(042130)</t>
  </si>
  <si>
    <t>Máshova nem sorolt gazdasági ügyek</t>
  </si>
  <si>
    <t>Nem veszélyes hulladék kezelése, ártalmatlanítása</t>
  </si>
  <si>
    <t>Zöldterület-kezelés(066010)</t>
  </si>
  <si>
    <t>Fizikoterápiás szolgáltatás(072450)</t>
  </si>
  <si>
    <t>Család és nővédelmi egészségügyi gondozás(074031)</t>
  </si>
  <si>
    <t>Ifjúság-egészségügyi gondozás(074032)</t>
  </si>
  <si>
    <t>Üdülői szálláshely-szolgáltatás és étkeztetés(081071)</t>
  </si>
  <si>
    <t>Civil szervezetek működési támogatása(084031)</t>
  </si>
  <si>
    <t>Közművelődés - hagyományos közösségi kulturális értékek gondozása(082092)</t>
  </si>
  <si>
    <t>Esélyegyenlőség elősegítését célzó tevékenységek és programok(107080)</t>
  </si>
  <si>
    <t>Önkormányzatok elszámolásai a központi költségvetéssel (018010)</t>
  </si>
  <si>
    <t>Gyermekek bölcsődei ellátása (Mini bölcsőde kialakítás pályázat) (104031)</t>
  </si>
  <si>
    <t>77.</t>
  </si>
  <si>
    <t>81.</t>
  </si>
  <si>
    <t>82.</t>
  </si>
  <si>
    <t>83.</t>
  </si>
  <si>
    <t>84.</t>
  </si>
  <si>
    <t>85.</t>
  </si>
  <si>
    <t>86.</t>
  </si>
  <si>
    <t>Csorvás Város Önkormányzatának Egyesített Szociális Intézménye 2021. évi kiadások kiemelt előirányzatonként
forintban</t>
  </si>
  <si>
    <t>Csorvás Város Önkormányzatának Óvodája és Bölcsődéje 2021. évi kiadások kiemelt előirányzatonként
forintban</t>
  </si>
  <si>
    <t xml:space="preserve">Csorvás Város Önkormányzatának Egyesített Szociális Intézménye 2021. évi bevételeinek alakulása </t>
  </si>
  <si>
    <t>Csorvás Város Önkormányzatának Óvodája és Bölcsődéje 2021. évi bevételeinek alakulása
forintban</t>
  </si>
  <si>
    <t>Lakóingatlan bérbeadás, üzemeltetés</t>
  </si>
  <si>
    <t>Hosszabb időtartamú közfoglalkoztatás</t>
  </si>
  <si>
    <t>Növénytermesztés, állattenyésztés és kapcsolódó szolgáltatások</t>
  </si>
  <si>
    <t>Család és nővédelmi egészségügyi gondozás</t>
  </si>
  <si>
    <t>Ifjúság-egészségügyi gondozás</t>
  </si>
  <si>
    <t>Üdülői szálláshely-szolgáltatás és étkeztetés</t>
  </si>
  <si>
    <t>Intézményen kívüli gyermekétkeztetés</t>
  </si>
  <si>
    <t>Önkormányzatok funkcióra nem sorolható bevételei államháztartáson kívülről</t>
  </si>
  <si>
    <t>Önkormányzatok elszámolásai a központi költségvetéssel</t>
  </si>
  <si>
    <t>Felhalmozási célú támogatások államháztartáson kívülről</t>
  </si>
  <si>
    <t>Csorvás Város Önkormányzata 2021. évi kiadások kiemelt előirányzatonként
forintban</t>
  </si>
  <si>
    <t>Közfogl. Bér</t>
  </si>
  <si>
    <t>Kötelező feladatok</t>
  </si>
  <si>
    <t>Hosszabb időtart.közfogl.</t>
  </si>
  <si>
    <t>Időskorúak bentlakásos szoc. ell.(102023)</t>
  </si>
  <si>
    <t>Idősek nappali ellátása(102031)</t>
  </si>
  <si>
    <t>Idősek nappali ellátása demens(102032)</t>
  </si>
  <si>
    <t>Demens betegek tartós bentl. ellátása(102024)</t>
  </si>
  <si>
    <t>Házi segítségnyújtás(107052)</t>
  </si>
  <si>
    <t>Csorvás Polgármesteri Hivatal</t>
  </si>
  <si>
    <t xml:space="preserve"> Csorvás Város Önk. Óvodája és Bölcsődéje</t>
  </si>
  <si>
    <t xml:space="preserve"> Csorvás Város Önk. Egyesített Szociális Intézménye</t>
  </si>
  <si>
    <t>Közutak, hidak, alagutak üzemeltetése, fenntartása('045160)</t>
  </si>
  <si>
    <t>Víztermelés,-kezelés,-ellátás('063020)</t>
  </si>
  <si>
    <t>Óvoda</t>
  </si>
  <si>
    <t>Egyesített Szociális Intézmény</t>
  </si>
  <si>
    <t>Összesen többlet</t>
  </si>
  <si>
    <t>Finanszírozási bevételek kiadások egyenlege (finanszírozási bevételek 37. sor - finanszírozási kiadások 29 sor) (+/-)</t>
  </si>
  <si>
    <t>Költségvetési hiány, többlet (költségvetési bevételek 28. sor -
 költségvetési kiadások 18. sor) (+/-)</t>
  </si>
  <si>
    <t>Államháztartáson belüli megelől. Visszafizetése(K914)</t>
  </si>
  <si>
    <t>Belföldi finanszírozás kiadásai</t>
  </si>
  <si>
    <t>KÖLTSÉGVETÉSI KIADÁSOK ÖSSZESEN:</t>
  </si>
  <si>
    <t>2.3.-ból EU-s forrásból megvalósuló felújítás (K7)</t>
  </si>
  <si>
    <t>Beruházások (K6)</t>
  </si>
  <si>
    <t xml:space="preserve">Felhalmozási költségvetési kiadások </t>
  </si>
  <si>
    <t>Tartalékok (K513)</t>
  </si>
  <si>
    <t>Egyéb működési célú kiadások (K5)</t>
  </si>
  <si>
    <t>Ellátottak pénzbeli juttatásai (K4)</t>
  </si>
  <si>
    <t>Dologi kiadások (K3)</t>
  </si>
  <si>
    <t>Munkaadókat terhelő járulékok és szochó(K2)</t>
  </si>
  <si>
    <t>Személyi juttatások (K1)</t>
  </si>
  <si>
    <t>Működési költségvetés kiadásai (1-7)</t>
  </si>
  <si>
    <t>34.</t>
  </si>
  <si>
    <t>Működési célú költségvetési tám.és kieg. tám.(B115)</t>
  </si>
  <si>
    <t>Önkormányzatok kulturális feladatainak tám.(B114)</t>
  </si>
  <si>
    <t>Önk. szociális és gyermekjóléti felad. Tám.(B1132)</t>
  </si>
  <si>
    <t>Önk. szociális és gyermekjóléti felad. Tám.(B1131)</t>
  </si>
  <si>
    <t>Önkormányzatok egyes köznevelési feladatainak tám.(B112</t>
  </si>
  <si>
    <t>Helyi önkormányzatok működésének általános tám.(B111)</t>
  </si>
  <si>
    <t>adatok Forintban</t>
  </si>
  <si>
    <t>CSORVÁS VÁROS ÖNKORMÁNYZATA BERUHÁZÁSI ÉS FELÚJÍTÁSI KIADÁSAI</t>
  </si>
  <si>
    <t>Adatok E Ft-ban</t>
  </si>
  <si>
    <t>Beruházás</t>
  </si>
  <si>
    <t>Eredeti</t>
  </si>
  <si>
    <t>Módosított</t>
  </si>
  <si>
    <t>MFP-KKE/2020 Közterület karbantartását szolgáló eszközbeszerzés 2020.</t>
  </si>
  <si>
    <t>II.</t>
  </si>
  <si>
    <t>sor.sz.</t>
  </si>
  <si>
    <t>Intézmény megnevezése</t>
  </si>
  <si>
    <t xml:space="preserve">Eredeti  </t>
  </si>
  <si>
    <t>Csorvási Polgármesteri Hivatal</t>
  </si>
  <si>
    <t>Csorvás Város Önkormányzatának Óvodája és Bölcsődéje</t>
  </si>
  <si>
    <t>Csorvás Város Önkormányzatának Egyesített Szociális Intézménye</t>
  </si>
  <si>
    <t>CSORVÁS VÁROS ÖNKORMÁNYZATA PÉNZESZKÖZ ÁTADÁSAI</t>
  </si>
  <si>
    <t>I.</t>
  </si>
  <si>
    <t>Működési célú visszatérítendő támogatások, kölcsönök nyújtása</t>
  </si>
  <si>
    <t>Egyéb működési célú támogatások</t>
  </si>
  <si>
    <t>Orosházi Kistérségi Társulás működési költség</t>
  </si>
  <si>
    <t>Családsegítő-, és Gyermekjóléti Szolgálat működésének támogatása</t>
  </si>
  <si>
    <t>Központi Orvosi Ügyelet támogatása</t>
  </si>
  <si>
    <t>Jelzőrendszeres házi segítségnyújtás</t>
  </si>
  <si>
    <t>BURSA Hungarica ösztöndíj pályázat</t>
  </si>
  <si>
    <t>DAREH működési költség</t>
  </si>
  <si>
    <t>Közép-Békési Térség Ivóvízminőség-javító Önkormányzati működési hozzájárulás</t>
  </si>
  <si>
    <t>Csorvási Sportkör támogatása (32/2020. (XII.2.) Polgármesteri Határozat alapján 1 200 000 Ft emelés)</t>
  </si>
  <si>
    <t>Csorvási Fúvószenekar és majorette Alapítvány támogatása</t>
  </si>
  <si>
    <t>Iskolaegészségügyi támogatás</t>
  </si>
  <si>
    <t>Közművelődési, könyvtári és sportfeladatok támogatása</t>
  </si>
  <si>
    <t>Rákóczi Szövetség  támogatása 71/2020. (IX.30.) Kt. Határozat alapján 100 000 Ft/év</t>
  </si>
  <si>
    <t>Csorvási Református Egyházközösség (gyülekezeti terem felújítása) 22/2020. (XI.12.) Polgármeksteri Határozat alapján egyszeri 300 000 Ft</t>
  </si>
  <si>
    <t>Elvonások és befizetések</t>
  </si>
  <si>
    <t>Egyéb működési célú kiadások összesen:</t>
  </si>
  <si>
    <t>Egyéb felhalmozási célú kiadások</t>
  </si>
  <si>
    <t>Pénzeszköz átadások összesen:</t>
  </si>
  <si>
    <t>CSORVÁS VÁROS ÖNKORMÁNYZATA ÁLTALÁNOS, MŰKÖDÉSI-, ÉS FEJLESZTÉSI TARTALÉKAI</t>
  </si>
  <si>
    <t>Működési céltartalék</t>
  </si>
  <si>
    <t>Működési céltartalék összesen:</t>
  </si>
  <si>
    <t xml:space="preserve">Általános tartalék </t>
  </si>
  <si>
    <t>Fejlesztési tartalék összesen:</t>
  </si>
  <si>
    <t>Tartalékok mindösszesen:</t>
  </si>
  <si>
    <t>s.sz.</t>
  </si>
  <si>
    <t>M e g n e v e z é s</t>
  </si>
  <si>
    <t>I. Működési bevételek és kiadások</t>
  </si>
  <si>
    <t>Intézményi működési bevételek</t>
  </si>
  <si>
    <t>Működési célú átvett pénzeszközök államháztartáson kívülről</t>
  </si>
  <si>
    <t>Működési célú bev. Össz. (1+…4)</t>
  </si>
  <si>
    <t>Munkaadókat terhelő járulékok és szociális hozzájárulási adó</t>
  </si>
  <si>
    <t>Működési célú kiad. Össz. (6+…11)</t>
  </si>
  <si>
    <t>Működési hiány (5-12)</t>
  </si>
  <si>
    <t xml:space="preserve">Működési hiány finanszírozás belső forrásból </t>
  </si>
  <si>
    <t>II. Felhalmozási célú bevételek és kiadások</t>
  </si>
  <si>
    <t>Felhalmozási célú átvett pénzeszközök államháztartáson kívülről</t>
  </si>
  <si>
    <t>Felhalmozási célú bevételek össz. (15+…17)</t>
  </si>
  <si>
    <t>Fejlesztési céltartalék</t>
  </si>
  <si>
    <t>Finanszírozási célú műveletek (állami támogatás megelőlegezés)</t>
  </si>
  <si>
    <t>Felhalmozási célú kiadások össz.(19+...23)</t>
  </si>
  <si>
    <t>Felhalmozási hiány (18-24)</t>
  </si>
  <si>
    <t>Felhalmozási hiány finanszírozása belső forrásból</t>
  </si>
  <si>
    <t>Felhalmozási hiány finanszírozása külső forrásból</t>
  </si>
  <si>
    <t>Önkormányzat bevételei összesen:(5+14+18+26+27)</t>
  </si>
  <si>
    <t>Önkormányzat kiadásai összesen:(12+24)</t>
  </si>
  <si>
    <t>CSORVÁS VÁROS ÖNKORMÁNYZATA ADÓSSÁGÁNAK ÉS HITELÁLLOMÁNYÁNAK KIMUTATÁSA ÉS A TÖBB ÉVES KIHATÁSSAL JÁRÓ FELADATOK KIADÁSAI ÉVES BONTÁSBAN</t>
  </si>
  <si>
    <t xml:space="preserve">Hitel törlesztések </t>
  </si>
  <si>
    <t>Fejlesztési kiadások</t>
  </si>
  <si>
    <t>Összes kötelezettség:</t>
  </si>
  <si>
    <t>CSORVÁS VÁROS ÖNKORMÁNYZATA ELŐIRÁNYZAT FELHASZNÁLÁSI ÜTEMTERVE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</si>
  <si>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</si>
  <si>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</si>
  <si>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</si>
  <si>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</si>
  <si>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</si>
  <si>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</si>
  <si>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</si>
  <si>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</si>
  <si>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IX.hó</t>
  </si>
  <si>
    <t>X.hó</t>
  </si>
  <si>
    <t>XI.hó</t>
  </si>
  <si>
    <t>XII.hó</t>
  </si>
  <si>
    <t>B e v é t e l e k</t>
  </si>
  <si>
    <t>Előző évi vállalkozási maradvány</t>
  </si>
  <si>
    <t>Értékpapír kibocsátása, értékesítése</t>
  </si>
  <si>
    <t>Hitel, kölcsön felvétele</t>
  </si>
  <si>
    <t>B e v é t e l e k  összesen:</t>
  </si>
  <si>
    <t xml:space="preserve">K i a d á s o k </t>
  </si>
  <si>
    <t>Értékpapír vásárlása, visszavásárlása</t>
  </si>
  <si>
    <t>Hitel, kölcsön törlesztése</t>
  </si>
  <si>
    <t>K i a d á s o k összesen.</t>
  </si>
  <si>
    <t>Intézmény finanszírozás</t>
  </si>
  <si>
    <t>Ssz.</t>
  </si>
  <si>
    <t>Saját forrás</t>
  </si>
  <si>
    <t xml:space="preserve">  </t>
  </si>
  <si>
    <t>CSORVÁS VÁROS ÖNKORMÁNYZATA ÁLTAL NYÚJTOTT KEDVEZMÉNYEK</t>
  </si>
  <si>
    <t xml:space="preserve">Kedvezmény nélkül elérhető bevétel </t>
  </si>
  <si>
    <t xml:space="preserve">Kedvezmények összege     </t>
  </si>
  <si>
    <t>Helyi adó bevételek</t>
  </si>
  <si>
    <t>Kommunális adó kedvezmény</t>
  </si>
  <si>
    <t>Iparűzési adó kedvezmény</t>
  </si>
  <si>
    <t>CSORVÁS VÁROS ÖNKORMÁNYZATA 4 ÉVES PÉNZFORGALMI MÉRLEGE</t>
  </si>
  <si>
    <t>Rovat szám</t>
  </si>
  <si>
    <t>2022      terv</t>
  </si>
  <si>
    <t>2023      terv</t>
  </si>
  <si>
    <t>B E V É T E L E K</t>
  </si>
  <si>
    <t>B3</t>
  </si>
  <si>
    <t>B4</t>
  </si>
  <si>
    <t>B65</t>
  </si>
  <si>
    <t>B5</t>
  </si>
  <si>
    <t>B7</t>
  </si>
  <si>
    <t>B2</t>
  </si>
  <si>
    <t>B8131</t>
  </si>
  <si>
    <t>B8132</t>
  </si>
  <si>
    <t>B812</t>
  </si>
  <si>
    <t>B811</t>
  </si>
  <si>
    <t>Államháztartáson belüli megelőlegezések bevétele</t>
  </si>
  <si>
    <t>B814</t>
  </si>
  <si>
    <t>Bevételek összesen:</t>
  </si>
  <si>
    <t>K1</t>
  </si>
  <si>
    <t>K2</t>
  </si>
  <si>
    <t>K3</t>
  </si>
  <si>
    <t>K4</t>
  </si>
  <si>
    <t>K5</t>
  </si>
  <si>
    <t>K6</t>
  </si>
  <si>
    <t>K7</t>
  </si>
  <si>
    <t>K8</t>
  </si>
  <si>
    <t>K912</t>
  </si>
  <si>
    <t>K911</t>
  </si>
  <si>
    <t>K513</t>
  </si>
  <si>
    <t>Államháztartáson belüli megelőlegezés kiadása</t>
  </si>
  <si>
    <t>K914</t>
  </si>
  <si>
    <t>CSORVÁS VÁROS ÖNKORMÁNYZATA SAJÁT BEVÉTELEINEK BEMUTATÁSA A 353/2011. (XII.30.) KORMÁNYRENDELET 2.§ (1) BEKEZDÉSE SZERINTI BONTÁSBAN</t>
  </si>
  <si>
    <t>Költségvetési év</t>
  </si>
  <si>
    <t>Saját bevétel</t>
  </si>
  <si>
    <t xml:space="preserve"> helyi adóból és a települési adóból származó bevétel</t>
  </si>
  <si>
    <t>az önkormányzati vagyon és az önkormányzatot megillető vagyoni értékű
jog értékesítéséből és hasznosításából származó bevétel (bérleti díj)</t>
  </si>
  <si>
    <t>az osztalék, a koncessziós díj és a hozambevétel</t>
  </si>
  <si>
    <t>a tárgyi eszköz és az immateriális jószág, részvény, részesedés, vállalat
értékesítéséből vagy privatizációból származó bevétel</t>
  </si>
  <si>
    <t>bírság-, pótlék- és díjbevétel</t>
  </si>
  <si>
    <t>a kezesség-, illetve garanciavállalással kapcsolatos megtérülés</t>
  </si>
  <si>
    <t>Saját bevétel összesen:</t>
  </si>
  <si>
    <t>I. hó</t>
  </si>
  <si>
    <t>II. hó</t>
  </si>
  <si>
    <t>III. hó</t>
  </si>
  <si>
    <t>IV. hó</t>
  </si>
  <si>
    <t>V. hó</t>
  </si>
  <si>
    <t xml:space="preserve">VIII.hó </t>
  </si>
  <si>
    <t>X. hó</t>
  </si>
  <si>
    <t>XI. hó</t>
  </si>
  <si>
    <t>XII. hó</t>
  </si>
  <si>
    <t>Nyitó pénzkészlet</t>
  </si>
  <si>
    <t>Bevételek</t>
  </si>
  <si>
    <t>Önkormányzat működési tám.</t>
  </si>
  <si>
    <t>Működési célú támog.áht-n b.</t>
  </si>
  <si>
    <t>Felh. célú átvett pénzeszk.</t>
  </si>
  <si>
    <t>Nyitó + Bev. össz.:</t>
  </si>
  <si>
    <t>Kiadások</t>
  </si>
  <si>
    <t>Személyi juttatás</t>
  </si>
  <si>
    <t>Munkaadókat terhelő járulék.</t>
  </si>
  <si>
    <t>Egyéb működési kiadás</t>
  </si>
  <si>
    <t>Felújítás, berzházás</t>
  </si>
  <si>
    <t>Egyéb felhalmozási kiadás</t>
  </si>
  <si>
    <t>Állami támog.megelőleg.vfiz.</t>
  </si>
  <si>
    <t>Kiadások összesen:</t>
  </si>
  <si>
    <t>Záró pénzkészlet</t>
  </si>
  <si>
    <t>Bizottságok nem képviselő tagjai</t>
  </si>
  <si>
    <t>Alpolgármester, önkormányzati képviselő</t>
  </si>
  <si>
    <t>Mindösszesen</t>
  </si>
  <si>
    <t>Csorvás Város Önkormányzata</t>
  </si>
  <si>
    <t>Közfoglalkoztatott</t>
  </si>
  <si>
    <t xml:space="preserve">Munka tövénykönyves </t>
  </si>
  <si>
    <t>Közalkalmazott</t>
  </si>
  <si>
    <t>Köztisztviselő</t>
  </si>
  <si>
    <t>Intézmény</t>
  </si>
  <si>
    <t>Engedélyezett álláshely/Foglalkoztatotti létszám</t>
  </si>
  <si>
    <t>Fő</t>
  </si>
  <si>
    <t>CSORVÁS VÁROS ÖNKORMÁNYZATA ÉS KÖLTSÉGVETÉSI SZERVEI ÁLTAL FOGL. LÉTSZÁMADATAI</t>
  </si>
  <si>
    <t>Önkormányzati igazgatás('011130)</t>
  </si>
  <si>
    <t>Adatok  Ft-ban</t>
  </si>
  <si>
    <t>TOP.5.3.1-16-BSI-2017-00011</t>
  </si>
  <si>
    <t>TOP-1.4.1-19-BSI-2019-00014 Mini bölcsőde kialakítása</t>
  </si>
  <si>
    <t xml:space="preserve">Polgármester Hivatal </t>
  </si>
  <si>
    <t>Egyesített Szociális Intézmény-egyéb tárgyi eszközök</t>
  </si>
  <si>
    <t>Adatok Ft-ban</t>
  </si>
  <si>
    <t>Csorvás Város Önk. Óvodája és Bölcsődéje</t>
  </si>
  <si>
    <t>Felújtás</t>
  </si>
  <si>
    <t>Önkormányzat, egyéb épit. Felújtása</t>
  </si>
  <si>
    <t>Összesen felhalmozási kiadások:</t>
  </si>
  <si>
    <t>Egyesített Szociális Intézmény lakóinak befizetéseinek egyenlege a letéti számlán</t>
  </si>
  <si>
    <t>MFP közterület karbantartás eszközbeszerzé</t>
  </si>
  <si>
    <t>Tartalék egyéb visszafizetésre</t>
  </si>
  <si>
    <t>Környezet védelmi</t>
  </si>
  <si>
    <t>Pályázatok költségei</t>
  </si>
  <si>
    <t>Pályázat önerőre használható tartalék</t>
  </si>
  <si>
    <t>CSORVÁS VÁROS ÖNKORMÁNYZATA MŰKÖDÉSI ÉS FEJLESZTÉSI CÉLÚ BEVÉTELEK ÉS KIADÁSOK ALAKULÁSÁT BEMUTATÓ MÉRLEG 2021-2024 IDŐSZAKRA</t>
  </si>
  <si>
    <t>sor szám</t>
  </si>
  <si>
    <t>2021.évi Eredeti előirányzat</t>
  </si>
  <si>
    <t>2021.évi Módosított előirányzat</t>
  </si>
  <si>
    <t>Eredeti előirányzat</t>
  </si>
  <si>
    <t>Módosított előirányzat</t>
  </si>
  <si>
    <t>33.</t>
  </si>
  <si>
    <t>2021.évi tervezett bevétel</t>
  </si>
  <si>
    <t>Maradvány igénybev.</t>
  </si>
  <si>
    <t>2024      terv</t>
  </si>
  <si>
    <t>2021    mod. Előir.</t>
  </si>
  <si>
    <t>B1</t>
  </si>
  <si>
    <t>Az Önkormányzat 2021. évi költségvetésének bevételei:</t>
  </si>
  <si>
    <t>2. melléklet az önkormányzat 2021. évi költségvetésról szóló 2/2021. (II.25.) önkormányzati rendelethez</t>
  </si>
  <si>
    <t>2.A. melléklet az önkormányzat 2021. évi költségvetésról szóló 2/2021. (II.25.) önkormányzati rendelethez</t>
  </si>
  <si>
    <t>2.B.  melléklet az önkormányzat 2021. évi költségvetésról szóló 2/2021. (II.25.) önkormányzati rendelethez</t>
  </si>
  <si>
    <t>2.C.  melléklet az önkormányzat 2021. évi költségvetésról szóló 2/2021. (II.25.) önkormányzati rendelethez</t>
  </si>
  <si>
    <t>3.  mellékletaz önkormányzat 2021. évi költségvetésról szóló 2/2021. (II.25.) önkormányzati rendelethez</t>
  </si>
  <si>
    <t>3.B. melléklet az önkormányzat 2021. évi költségvetésról szóló 2/2021. (II.25.) önkormányzati rendelethez</t>
  </si>
  <si>
    <t>3.C. melléklet a az önkormányzat 2021. évi költségvetésról szóló 2/2021. (II.25.) önkormányzati rendelethez</t>
  </si>
  <si>
    <t>4. melléklet az önkormányzat 2021. évi költségvetésról szóló 2/2021. (II.25.) önkormányzati rendelethez</t>
  </si>
  <si>
    <t>5. melléklet az önkormányzat 2021. évi költségvetésról szóló 2/2021. (II.25.) önkormányzati rendelethez</t>
  </si>
  <si>
    <t>6. melléklet az önkormányzat 2021. évi költségvetésról szóló 2/2021. (II.25.) önkormányzati rendelethez</t>
  </si>
  <si>
    <t>7. melléklet az önkormányzat 2021. évi költségvetésról szóló 2/2021. (II.25.) önkormányzati rendelethez</t>
  </si>
  <si>
    <t>8. melléklet az önkormányzat 2021. évi költségvetésról szóló 2/2021. (II.25.) önkormányzati rendelethez</t>
  </si>
  <si>
    <t>9. mellékletaz önkormányzat 2021. évi költségvetésról szóló 2/2021. (II.25.) önkormányzati rendelethez</t>
  </si>
  <si>
    <t>10. melléklet az önkormányzat 2021. évi költségvetésról szóló 2/2021. (II.25.) önkormányzati rendelethez</t>
  </si>
  <si>
    <t>12. melléklet az önkormányzat 2021. évi költségvetésról szóló 2/2021. (II.25.) önkormányzati rendelethez</t>
  </si>
  <si>
    <t>13. melléklet az önkormányzat 2021. évi költségvetésról szóló 2/2021. (II.25.) önkormányzati rendelethez</t>
  </si>
  <si>
    <t>16. mellékletaz önkormányzat 2021. évi költségvetésról szóló 2/2021. (II.25.) önkormányzati rendelethez</t>
  </si>
  <si>
    <t>Csorvás Város Önkormányzata 2021. évi bevételeinek alakulása - Csorvási Polgármesteri Hivatal 
forintban</t>
  </si>
  <si>
    <t>CSORVÁS VÁROS ÖNKORMÁNYZATA ÉS KÖLTSÉGVETÉSI SZERVEI PÉNZELLÁTÁSA</t>
  </si>
  <si>
    <t>17. melléklet az önkormányzat 2021. évi költségvetésról szóló 2/2021. (II.25.) önkormányzati rendelethez</t>
  </si>
  <si>
    <t xml:space="preserve">Likviditási ütemterv </t>
  </si>
  <si>
    <t>Az Önkormányzat 2021. évi költségvetési 
bevételei és kiadásai jogcímek szerint</t>
  </si>
  <si>
    <t>CSORVÁS VÁROS ÖNKORMÁNYZATA 3 ÉVES PÉNZFORGALMI MÉRLEGE</t>
  </si>
  <si>
    <t>2019      tény</t>
  </si>
  <si>
    <t>2020     tény</t>
  </si>
  <si>
    <t xml:space="preserve">2021 mod. előirányzat    </t>
  </si>
  <si>
    <t>2021. évi 
előirányzat</t>
  </si>
  <si>
    <t>Csorváson működő önszerveződő közösségek támogatása</t>
  </si>
  <si>
    <t>1. melléklet az önkormányzat 2021. évi költségvetésról szóló 2/2021. (II.25.) 
önkormányzati rendelethez</t>
  </si>
  <si>
    <t>2021. évi
mód. előirányzat</t>
  </si>
  <si>
    <t>Magánszemélyek kommunális adója</t>
  </si>
  <si>
    <t>KÖLTSÉGVETÉSI, FINANSZÍROZÁSI BEVÉTELEK ÉS KIADÁSOK EGYENLEGE</t>
  </si>
  <si>
    <t>Kormányzati funkció</t>
  </si>
  <si>
    <t>3.  A mellékletaz önkormányzat 2021. évi költségvetésról szóló 2/2021. (II.25.) önkormányzati rendelethez</t>
  </si>
  <si>
    <t xml:space="preserve">Működési. Átvett  bev. </t>
  </si>
  <si>
    <t>CSORVÁS VÁROS ÖNKORMÁNYZATA EURÓPAI UNIÓS FORRÁSBÓL MEGVALÓSULÓ PROJEKTEK BEVÉTELEI ÉS KIADÁSAI, EU-S PROJEKTEKHEZ TÖRTÉNŐ HOZZÁJÁRULÁSOK</t>
  </si>
  <si>
    <t xml:space="preserve">Csorvás Város Önkormányzat 2021 évi bevételeinek alakulása -kormányzati funkcióként </t>
  </si>
  <si>
    <t>TOP.1.4.1-16-BS1-2019/00014  Mini bölcsőde kialakítása</t>
  </si>
  <si>
    <t xml:space="preserve">6. melléklet az Önkormányzat 2021. évi költségvetéséről szóló 2/2021. (II.25.) önkormányzati rendelet módosításáról szóló  9/2021. (VII.1.) önkormányzati rendelethez </t>
  </si>
  <si>
    <t>14. melléklet az Önkormányzat 2021. évi költségvetéséről szóló 2/2021. (II.25.) önkormányzati rendelethez</t>
  </si>
  <si>
    <t>15. melléklet az Önkormányzat 2021. évi költségvetéséről szóló 2/2021. (II.25.) önkormányzati rendelethez</t>
  </si>
  <si>
    <t xml:space="preserve">1. melléklet az Önkormányzat 2021. évi költségvetéséről szóló 2/2021. (II.25.) 
önkormányzati rendelet módosításáról szóló .../2021. (…..) önkormányzati rendelethez </t>
  </si>
  <si>
    <t>2. melléklet az Önkormányzat 2021. évi költségvetéséről szóló 2/2021. (II.25.) önkormányzati rendelet módosításáról szóló   .../2021. (…..) önkormányzati rendelethez</t>
  </si>
  <si>
    <t xml:space="preserve"> 3.  melléklet az Önkormányzat 2021. évi költségvetéséről szóló 2/2021. (II.25.) önkormányzati rendelet módosításáról szóló   .../2021. (…..) önkormányzati rendelethez </t>
  </si>
  <si>
    <t xml:space="preserve">4.  melléklet az Önkormányzat 2021. évi költségvetéséről szóló 2/2021. (II.25.) önkormányzati rendelet módosításáról szóló   .../2021. (…..) önkormányzati rendelethez </t>
  </si>
  <si>
    <t xml:space="preserve">5. melléklet az Önkormányzat 2021. évi költségvetéséről szóló 2/2021. (II.25.) önkormányzati rendelet módosításáról szóló   .../2021. (…..) önkormányzati rendelethez </t>
  </si>
  <si>
    <t xml:space="preserve">7. A melléklet az Önkormányzat 2021. évi költségvetéséről szóló 2/2021. (II.25.) önkormányzati rendelet módosításáról szóló  ../2021. (....) önkormányzati rendelethez </t>
  </si>
  <si>
    <t xml:space="preserve">8. melléklet az Önkormányzat 2021. évi költségvetéséről szóló 2/2021. (II.25.) önkormányzati rendelet módosításáról szóló  .../2021. (…..) önkormányzati rendelethez </t>
  </si>
  <si>
    <t xml:space="preserve">9. melléklet az Önkormányzat 2021. évi költségvetéséről szóló 2/2021. (II.25.) önkormányzati rendelet módosításáról szóló  .../2021. (....) önkormányzati rendelethez </t>
  </si>
  <si>
    <t xml:space="preserve">10. melléklet az Önkormányzat 2021. évi költségvetéséről szóló 2/2021. (II.25.) önkormányzati rendelet módosításáról szóló  .../2021. (…...) önkormányzati rendelethez </t>
  </si>
  <si>
    <t xml:space="preserve">11. melléklet az Önkormányzat 2021. évi költségvetéséről szóló 2/2021. (II.25.) önkormányzati rendelet módosításáról szóló  .../2021. (…..) önkormányzati rendelethez </t>
  </si>
  <si>
    <t xml:space="preserve">12. melléklet az Önkormányzat 2021. évi költségvetéséről szóló 2/2021. (II.25.) önkormányzati rendelet módosításáról szóló  …./2021. (…..) önkormányzati rendelethez </t>
  </si>
  <si>
    <t xml:space="preserve">13. melléklet az Önkormányzat 2021. évi költségvetéséről szóló 2/2021. (II.25.) önkormányzati rendelet módosításáról szóló  .../2021. (…...) önkormányzati rendelethez </t>
  </si>
  <si>
    <t xml:space="preserve">14. melléklet az Önkormányzat 2021. évi költségvetéséről szóló 2/2021. (II.25.) önkormányzati rendelet módosításáról szóló  .../2021. (…...) önkormányzati rendelethez </t>
  </si>
  <si>
    <t xml:space="preserve">15. melléklet az Önkormányzat 2021. évi költségvetéséről szóló 2/2021. (II.25.) önkormányzati rendelet módosításáról szóló  .../2021. (…...) önkormányzati rendelethez </t>
  </si>
  <si>
    <t xml:space="preserve">16. melléklet az Önkormányzat 2021. évi költségvetéséről szóló 2/2021. (II.25.) önkormányzati rendelet módosításáról szóló  …./2021. (…...) önkormányzati rendelethez </t>
  </si>
  <si>
    <t xml:space="preserve">11. melléklet az Önkormányzat 2021. évi költségvetéséről szóló 2/2021. (II.25.) önkormányzati rendelet módosításáról szóló  .../2021. (…...) önkormányzati rendelethez </t>
  </si>
  <si>
    <t xml:space="preserve">18. melléklet az Önkormányzat 2021. évi költségvetéséről szóló 2/2021. (II.25.) önkormányzati rendelet módosításáról szóló .../2021. (…..) önkormányzati rendelethez </t>
  </si>
  <si>
    <t xml:space="preserve">19. melléklet az Önkormányzat 2021. évi költségvetéséről szóló 2/2021. (II.25.) önkormányzati rendelet módosításáról szóló .../2021. (…...) önkormányzati rendelethez </t>
  </si>
  <si>
    <t xml:space="preserve">20. mellékletaz önkormányzat 2021. évi költségvetésról szóló 2/2021. (II.25.) önkormányzati rendelet  módosításáról szóló .../2021. (…..) önkormányzati rendelethez </t>
  </si>
  <si>
    <t xml:space="preserve">21. melléklet az önkormányzat 2021. évi költségvetésról szóló 2/2021. (II.25.) önkormányzati rendelet  módosításáról szóló .../2021. (…..) önkormányzati rendelethez </t>
  </si>
  <si>
    <t xml:space="preserve">22. melléklet az Önkormányzat 2021. évi költségvetéséről szóló 2/2021. (II.25.) önkormányzati rendelet módosításáról szóló ../2021. (…..) önkormányzati rendelethez </t>
  </si>
  <si>
    <t xml:space="preserve">23. melléklet az Önkormányzat 2021. évi költségvetéséről szóló 2/2021. (II.25.) önkormányzati rendelet módosításáról szóló …./2021. (…..)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</si>
</sst>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F_t_-;\-* #,##0.00\ _F_t_-;_-* &quot;-&quot;??\ _F_t_-;_-@_-"/>
    <numFmt numFmtId="165" formatCode="#,##0.000"/>
    <numFmt numFmtId="166" formatCode="_-* #,##0_-;\-* #,##0_-;_-* &quot;-&quot;??_-;_-@_-"/>
    <numFmt numFmtId="167" formatCode="#\ ##0"/>
    <numFmt numFmtId="168" formatCode="#,"/>
    <numFmt numFmtId="169" formatCode="#"/>
    <numFmt numFmtId="170" formatCode="0\ 000"/>
    <numFmt numFmtId="171" formatCode="#,##0\ _F_t"/>
  </numFmts>
  <fonts count="9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rgb="FF000000"/>
      <name val="Arial"/>
      <family val="2"/>
    </font>
    <font>
      <b/>
      <sz val="10"/>
      <color rgb="FF000000"/>
      <name val="Arial"/>
      <family val="2"/>
      <charset val="238"/>
    </font>
    <font>
      <sz val="10"/>
      <color indexed="8"/>
      <name val="Arial"/>
      <family val="2"/>
    </font>
    <font>
      <b/>
      <sz val="11"/>
      <color rgb="FF000000"/>
      <name val="Arial"/>
      <family val="2"/>
      <charset val="238"/>
    </font>
    <font>
      <b/>
      <sz val="10"/>
      <color indexed="8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MS Sans Serif"/>
      <family val="2"/>
      <charset val="238"/>
    </font>
    <font>
      <sz val="10"/>
      <color indexed="10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erminal"/>
      <family val="3"/>
      <charset val="255"/>
    </font>
    <font>
      <b/>
      <sz val="10"/>
      <name val="Terminal"/>
      <family val="3"/>
      <charset val="255"/>
    </font>
    <font>
      <b/>
      <sz val="10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u/>
      <sz val="10"/>
      <name val="Times New Roman CE"/>
      <family val="1"/>
      <charset val="238"/>
    </font>
    <font>
      <u/>
      <sz val="10"/>
      <name val="MS Sans Serif"/>
      <family val="2"/>
      <charset val="238"/>
    </font>
    <font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0"/>
      <color rgb="FF000000"/>
      <name val="Arial CE"/>
      <family val="2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indexed="8"/>
      <name val="Arial CE"/>
      <family val="2"/>
      <charset val="238"/>
    </font>
    <font>
      <sz val="8"/>
      <color rgb="FF000000"/>
      <name val="Arial"/>
      <family val="2"/>
    </font>
    <font>
      <b/>
      <sz val="14"/>
      <color rgb="FF000000"/>
      <name val="Arial"/>
      <family val="2"/>
      <charset val="238"/>
    </font>
    <font>
      <sz val="14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Arial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31" fillId="0" borderId="0"/>
    <xf numFmtId="0" fontId="37" fillId="0" borderId="0"/>
    <xf numFmtId="0" fontId="3" fillId="0" borderId="0"/>
    <xf numFmtId="0" fontId="31" fillId="0" borderId="0"/>
    <xf numFmtId="43" fontId="39" fillId="0" borderId="0" applyFont="0" applyFill="0" applyBorder="0" applyAlignment="0" applyProtection="0"/>
    <xf numFmtId="0" fontId="44" fillId="0" borderId="0"/>
    <xf numFmtId="9" fontId="46" fillId="0" borderId="0" applyFont="0" applyFill="0" applyBorder="0" applyAlignment="0" applyProtection="0"/>
    <xf numFmtId="0" fontId="31" fillId="0" borderId="0"/>
    <xf numFmtId="0" fontId="52" fillId="0" borderId="0"/>
    <xf numFmtId="0" fontId="31" fillId="0" borderId="0"/>
    <xf numFmtId="0" fontId="31" fillId="0" borderId="0"/>
    <xf numFmtId="0" fontId="80" fillId="0" borderId="0"/>
    <xf numFmtId="0" fontId="92" fillId="0" borderId="0"/>
  </cellStyleXfs>
  <cellXfs count="857">
    <xf numFmtId="0" fontId="0" fillId="0" borderId="0" xfId="0"/>
    <xf numFmtId="0" fontId="10" fillId="0" borderId="1" xfId="1" applyFont="1" applyFill="1" applyBorder="1" applyAlignment="1">
      <alignment horizontal="center"/>
    </xf>
    <xf numFmtId="0" fontId="14" fillId="0" borderId="1" xfId="1" applyFont="1" applyFill="1" applyBorder="1" applyAlignment="1">
      <alignment vertical="center"/>
    </xf>
    <xf numFmtId="0" fontId="9" fillId="0" borderId="0" xfId="1" applyFont="1" applyFill="1"/>
    <xf numFmtId="0" fontId="23" fillId="0" borderId="1" xfId="5" applyFont="1" applyFill="1" applyBorder="1" applyAlignment="1">
      <alignment vertical="center"/>
    </xf>
    <xf numFmtId="0" fontId="24" fillId="0" borderId="1" xfId="5" applyFont="1" applyFill="1" applyBorder="1" applyAlignment="1">
      <alignment horizontal="center"/>
    </xf>
    <xf numFmtId="0" fontId="15" fillId="0" borderId="1" xfId="5" applyFont="1" applyFill="1" applyBorder="1" applyAlignment="1">
      <alignment vertical="center"/>
    </xf>
    <xf numFmtId="3" fontId="28" fillId="0" borderId="1" xfId="5" applyNumberFormat="1" applyFont="1" applyFill="1" applyBorder="1" applyAlignment="1">
      <alignment horizontal="right" vertical="center"/>
    </xf>
    <xf numFmtId="3" fontId="28" fillId="0" borderId="1" xfId="5" applyNumberFormat="1" applyFont="1" applyFill="1" applyBorder="1" applyAlignment="1">
      <alignment horizontal="right" vertical="center" wrapText="1"/>
    </xf>
    <xf numFmtId="0" fontId="21" fillId="0" borderId="0" xfId="5" applyFont="1" applyFill="1"/>
    <xf numFmtId="0" fontId="15" fillId="2" borderId="1" xfId="5" applyFont="1" applyFill="1" applyBorder="1" applyAlignment="1">
      <alignment vertical="center"/>
    </xf>
    <xf numFmtId="0" fontId="21" fillId="0" borderId="1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6" fillId="0" borderId="1" xfId="5" applyFont="1" applyFill="1" applyBorder="1" applyAlignment="1">
      <alignment horizontal="center" wrapText="1"/>
    </xf>
    <xf numFmtId="0" fontId="27" fillId="0" borderId="1" xfId="5" applyFont="1" applyFill="1" applyBorder="1" applyAlignment="1">
      <alignment horizontal="center" vertical="center"/>
    </xf>
    <xf numFmtId="0" fontId="28" fillId="0" borderId="1" xfId="5" applyFont="1" applyFill="1" applyBorder="1" applyAlignment="1">
      <alignment horizontal="center" vertical="center" wrapText="1"/>
    </xf>
    <xf numFmtId="0" fontId="28" fillId="0" borderId="0" xfId="5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vertical="center" wrapText="1"/>
    </xf>
    <xf numFmtId="0" fontId="21" fillId="0" borderId="1" xfId="5" applyFont="1" applyFill="1" applyBorder="1"/>
    <xf numFmtId="3" fontId="28" fillId="0" borderId="0" xfId="5" applyNumberFormat="1" applyFont="1" applyFill="1" applyBorder="1" applyAlignment="1">
      <alignment horizontal="right" vertical="center" wrapText="1"/>
    </xf>
    <xf numFmtId="0" fontId="26" fillId="0" borderId="1" xfId="5" applyFont="1" applyFill="1" applyBorder="1" applyAlignment="1">
      <alignment horizontal="center"/>
    </xf>
    <xf numFmtId="0" fontId="28" fillId="0" borderId="1" xfId="5" applyFont="1" applyFill="1" applyBorder="1" applyAlignment="1">
      <alignment vertical="center"/>
    </xf>
    <xf numFmtId="0" fontId="28" fillId="0" borderId="0" xfId="5" applyFont="1" applyFill="1"/>
    <xf numFmtId="0" fontId="21" fillId="0" borderId="1" xfId="5" applyFont="1" applyFill="1" applyBorder="1" applyAlignment="1">
      <alignment vertical="center"/>
    </xf>
    <xf numFmtId="3" fontId="21" fillId="0" borderId="0" xfId="5" applyNumberFormat="1" applyFont="1" applyFill="1" applyBorder="1" applyAlignment="1">
      <alignment horizontal="right" vertical="center" wrapText="1"/>
    </xf>
    <xf numFmtId="3" fontId="21" fillId="0" borderId="0" xfId="5" applyNumberFormat="1" applyFont="1" applyFill="1" applyBorder="1"/>
    <xf numFmtId="0" fontId="28" fillId="0" borderId="1" xfId="5" applyFont="1" applyFill="1" applyBorder="1"/>
    <xf numFmtId="3" fontId="21" fillId="0" borderId="0" xfId="5" applyNumberFormat="1" applyFont="1" applyFill="1"/>
    <xf numFmtId="0" fontId="9" fillId="0" borderId="1" xfId="1" applyFont="1" applyFill="1" applyBorder="1"/>
    <xf numFmtId="0" fontId="12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horizontal="right" vertical="center" wrapText="1"/>
    </xf>
    <xf numFmtId="0" fontId="13" fillId="0" borderId="0" xfId="1" applyFont="1" applyFill="1"/>
    <xf numFmtId="0" fontId="9" fillId="0" borderId="1" xfId="1" applyFont="1" applyFill="1" applyBorder="1" applyAlignment="1">
      <alignment vertical="center"/>
    </xf>
    <xf numFmtId="0" fontId="13" fillId="0" borderId="1" xfId="1" applyFont="1" applyFill="1" applyBorder="1"/>
    <xf numFmtId="3" fontId="28" fillId="0" borderId="0" xfId="5" applyNumberFormat="1" applyFont="1" applyFill="1" applyBorder="1"/>
    <xf numFmtId="165" fontId="9" fillId="0" borderId="0" xfId="1" applyNumberFormat="1" applyFont="1" applyFill="1"/>
    <xf numFmtId="165" fontId="28" fillId="0" borderId="1" xfId="5" applyNumberFormat="1" applyFont="1" applyFill="1" applyBorder="1" applyAlignment="1">
      <alignment horizontal="right" vertical="center"/>
    </xf>
    <xf numFmtId="165" fontId="28" fillId="0" borderId="1" xfId="5" applyNumberFormat="1" applyFont="1" applyFill="1" applyBorder="1" applyAlignment="1">
      <alignment horizontal="right" vertical="center" wrapText="1"/>
    </xf>
    <xf numFmtId="165" fontId="28" fillId="0" borderId="1" xfId="5" applyNumberFormat="1" applyFont="1" applyFill="1" applyBorder="1"/>
    <xf numFmtId="0" fontId="15" fillId="0" borderId="1" xfId="5" applyFont="1" applyFill="1" applyBorder="1" applyAlignment="1">
      <alignment vertical="center" wrapText="1"/>
    </xf>
    <xf numFmtId="3" fontId="28" fillId="0" borderId="1" xfId="5" applyNumberFormat="1" applyFont="1" applyFill="1" applyBorder="1"/>
    <xf numFmtId="3" fontId="28" fillId="0" borderId="0" xfId="5" applyNumberFormat="1" applyFont="1" applyFill="1" applyBorder="1" applyAlignment="1">
      <alignment horizontal="right" vertical="center"/>
    </xf>
    <xf numFmtId="0" fontId="28" fillId="0" borderId="1" xfId="5" applyFont="1" applyFill="1" applyBorder="1" applyAlignment="1">
      <alignment horizontal="center"/>
    </xf>
    <xf numFmtId="3" fontId="21" fillId="0" borderId="0" xfId="5" applyNumberFormat="1" applyFont="1" applyFill="1" applyBorder="1" applyAlignment="1">
      <alignment horizontal="right" vertical="center"/>
    </xf>
    <xf numFmtId="0" fontId="30" fillId="0" borderId="1" xfId="5" applyFont="1" applyFill="1" applyBorder="1" applyAlignment="1">
      <alignment horizontal="left" vertical="center"/>
    </xf>
    <xf numFmtId="0" fontId="27" fillId="0" borderId="1" xfId="5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>
      <alignment vertical="center"/>
    </xf>
    <xf numFmtId="0" fontId="28" fillId="0" borderId="3" xfId="5" applyFont="1" applyFill="1" applyBorder="1" applyAlignment="1">
      <alignment horizontal="center" vertical="center" wrapText="1"/>
    </xf>
    <xf numFmtId="0" fontId="13" fillId="0" borderId="0" xfId="1" applyFont="1" applyFill="1" applyBorder="1"/>
    <xf numFmtId="0" fontId="9" fillId="0" borderId="0" xfId="5" applyFont="1" applyFill="1"/>
    <xf numFmtId="0" fontId="10" fillId="0" borderId="1" xfId="5" applyFont="1" applyFill="1" applyBorder="1" applyAlignment="1">
      <alignment horizontal="center"/>
    </xf>
    <xf numFmtId="0" fontId="12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/>
    </xf>
    <xf numFmtId="0" fontId="20" fillId="0" borderId="1" xfId="5" applyFont="1" applyFill="1" applyBorder="1" applyAlignment="1">
      <alignment horizontal="center" vertical="center" wrapText="1"/>
    </xf>
    <xf numFmtId="0" fontId="22" fillId="0" borderId="1" xfId="5" applyFont="1" applyFill="1" applyBorder="1" applyAlignment="1">
      <alignment vertical="center"/>
    </xf>
    <xf numFmtId="165" fontId="22" fillId="0" borderId="1" xfId="5" applyNumberFormat="1" applyFont="1" applyFill="1" applyBorder="1" applyAlignment="1">
      <alignment vertical="center"/>
    </xf>
    <xf numFmtId="0" fontId="9" fillId="0" borderId="1" xfId="5" applyFont="1" applyFill="1" applyBorder="1"/>
    <xf numFmtId="0" fontId="5" fillId="0" borderId="0" xfId="5" applyFill="1"/>
    <xf numFmtId="3" fontId="5" fillId="0" borderId="0" xfId="5" applyNumberFormat="1" applyFill="1"/>
    <xf numFmtId="0" fontId="10" fillId="0" borderId="1" xfId="5" applyFont="1" applyFill="1" applyBorder="1" applyAlignment="1">
      <alignment horizontal="center" wrapText="1"/>
    </xf>
    <xf numFmtId="0" fontId="5" fillId="0" borderId="1" xfId="5" applyFill="1" applyBorder="1"/>
    <xf numFmtId="0" fontId="5" fillId="0" borderId="0" xfId="5" applyFill="1" applyBorder="1"/>
    <xf numFmtId="0" fontId="13" fillId="0" borderId="1" xfId="5" applyFont="1" applyFill="1" applyBorder="1" applyAlignment="1">
      <alignment horizontal="center"/>
    </xf>
    <xf numFmtId="0" fontId="12" fillId="0" borderId="1" xfId="5" applyFont="1" applyFill="1" applyBorder="1" applyAlignment="1">
      <alignment horizontal="center" wrapText="1"/>
    </xf>
    <xf numFmtId="0" fontId="17" fillId="0" borderId="0" xfId="5" applyFont="1" applyFill="1"/>
    <xf numFmtId="0" fontId="20" fillId="0" borderId="1" xfId="5" applyFont="1" applyFill="1" applyBorder="1" applyAlignment="1">
      <alignment horizontal="center" vertical="center"/>
    </xf>
    <xf numFmtId="0" fontId="10" fillId="0" borderId="0" xfId="5" applyFont="1" applyFill="1" applyAlignment="1">
      <alignment horizontal="center"/>
    </xf>
    <xf numFmtId="0" fontId="7" fillId="0" borderId="1" xfId="5" applyFont="1" applyFill="1" applyBorder="1" applyAlignment="1">
      <alignment horizontal="center" vertical="center"/>
    </xf>
    <xf numFmtId="0" fontId="14" fillId="0" borderId="1" xfId="5" applyFont="1" applyFill="1" applyBorder="1" applyAlignment="1">
      <alignment vertical="center"/>
    </xf>
    <xf numFmtId="0" fontId="24" fillId="0" borderId="0" xfId="5" applyFont="1" applyFill="1"/>
    <xf numFmtId="3" fontId="21" fillId="0" borderId="1" xfId="5" applyNumberFormat="1" applyFont="1" applyFill="1" applyBorder="1"/>
    <xf numFmtId="0" fontId="28" fillId="0" borderId="1" xfId="5" applyFont="1" applyFill="1" applyBorder="1" applyAlignment="1">
      <alignment horizontal="center" vertical="center"/>
    </xf>
    <xf numFmtId="3" fontId="21" fillId="0" borderId="1" xfId="5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165" fontId="13" fillId="0" borderId="1" xfId="1" applyNumberFormat="1" applyFont="1" applyFill="1" applyBorder="1" applyAlignment="1">
      <alignment horizontal="center" vertical="center" wrapText="1"/>
    </xf>
    <xf numFmtId="3" fontId="9" fillId="0" borderId="0" xfId="5" applyNumberFormat="1" applyFont="1" applyFill="1"/>
    <xf numFmtId="3" fontId="13" fillId="0" borderId="1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/>
    <xf numFmtId="3" fontId="14" fillId="0" borderId="1" xfId="1" applyNumberFormat="1" applyFont="1" applyFill="1" applyBorder="1" applyAlignment="1">
      <alignment vertical="center"/>
    </xf>
    <xf numFmtId="3" fontId="8" fillId="0" borderId="5" xfId="1" applyNumberFormat="1" applyFont="1" applyFill="1" applyBorder="1" applyAlignment="1">
      <alignment vertical="center"/>
    </xf>
    <xf numFmtId="3" fontId="13" fillId="0" borderId="1" xfId="1" applyNumberFormat="1" applyFont="1" applyFill="1" applyBorder="1"/>
    <xf numFmtId="1" fontId="9" fillId="0" borderId="1" xfId="1" applyNumberFormat="1" applyFont="1" applyFill="1" applyBorder="1"/>
    <xf numFmtId="3" fontId="9" fillId="0" borderId="1" xfId="1" applyNumberFormat="1" applyFont="1" applyFill="1" applyBorder="1" applyAlignment="1">
      <alignment horizontal="right" vertical="center"/>
    </xf>
    <xf numFmtId="3" fontId="22" fillId="0" borderId="1" xfId="5" applyNumberFormat="1" applyFont="1" applyFill="1" applyBorder="1" applyAlignment="1">
      <alignment vertical="center"/>
    </xf>
    <xf numFmtId="3" fontId="22" fillId="0" borderId="1" xfId="5" applyNumberFormat="1" applyFont="1" applyFill="1" applyBorder="1" applyAlignment="1">
      <alignment horizontal="right" vertical="center"/>
    </xf>
    <xf numFmtId="3" fontId="20" fillId="0" borderId="1" xfId="5" applyNumberFormat="1" applyFont="1" applyFill="1" applyBorder="1" applyAlignment="1">
      <alignment horizontal="right" vertical="center"/>
    </xf>
    <xf numFmtId="3" fontId="9" fillId="0" borderId="1" xfId="5" applyNumberFormat="1" applyFont="1" applyFill="1" applyBorder="1"/>
    <xf numFmtId="3" fontId="14" fillId="0" borderId="1" xfId="5" applyNumberFormat="1" applyFont="1" applyFill="1" applyBorder="1" applyAlignment="1">
      <alignment vertical="center"/>
    </xf>
    <xf numFmtId="3" fontId="14" fillId="0" borderId="1" xfId="5" applyNumberFormat="1" applyFont="1" applyFill="1" applyBorder="1" applyAlignment="1">
      <alignment horizontal="right" vertical="center"/>
    </xf>
    <xf numFmtId="3" fontId="9" fillId="0" borderId="1" xfId="5" applyNumberFormat="1" applyFont="1" applyFill="1" applyBorder="1" applyAlignment="1">
      <alignment vertical="center"/>
    </xf>
    <xf numFmtId="3" fontId="23" fillId="0" borderId="1" xfId="5" applyNumberFormat="1" applyFont="1" applyFill="1" applyBorder="1" applyAlignment="1">
      <alignment vertical="center"/>
    </xf>
    <xf numFmtId="3" fontId="23" fillId="0" borderId="1" xfId="5" applyNumberFormat="1" applyFont="1" applyFill="1" applyBorder="1" applyAlignment="1">
      <alignment horizontal="right" vertical="center"/>
    </xf>
    <xf numFmtId="3" fontId="13" fillId="0" borderId="1" xfId="5" applyNumberFormat="1" applyFont="1" applyFill="1" applyBorder="1" applyAlignment="1">
      <alignment vertical="center"/>
    </xf>
    <xf numFmtId="3" fontId="15" fillId="0" borderId="1" xfId="5" applyNumberFormat="1" applyFont="1" applyFill="1" applyBorder="1" applyAlignment="1">
      <alignment horizontal="right" vertical="center" wrapText="1"/>
    </xf>
    <xf numFmtId="3" fontId="15" fillId="0" borderId="1" xfId="5" applyNumberFormat="1" applyFont="1" applyFill="1" applyBorder="1" applyAlignment="1">
      <alignment vertical="center"/>
    </xf>
    <xf numFmtId="3" fontId="15" fillId="0" borderId="1" xfId="6" applyNumberFormat="1" applyFont="1" applyFill="1" applyBorder="1" applyAlignment="1">
      <alignment vertical="center"/>
    </xf>
    <xf numFmtId="3" fontId="29" fillId="0" borderId="1" xfId="5" applyNumberFormat="1" applyFont="1" applyFill="1" applyBorder="1" applyAlignment="1">
      <alignment vertical="center"/>
    </xf>
    <xf numFmtId="3" fontId="15" fillId="0" borderId="1" xfId="5" applyNumberFormat="1" applyFont="1" applyFill="1" applyBorder="1" applyAlignment="1">
      <alignment horizontal="right" vertical="center"/>
    </xf>
    <xf numFmtId="3" fontId="15" fillId="0" borderId="1" xfId="6" applyNumberFormat="1" applyFont="1" applyFill="1" applyBorder="1" applyAlignment="1">
      <alignment horizontal="right" vertical="center"/>
    </xf>
    <xf numFmtId="3" fontId="21" fillId="0" borderId="1" xfId="5" applyNumberFormat="1" applyFont="1" applyFill="1" applyBorder="1" applyAlignment="1">
      <alignment vertical="center"/>
    </xf>
    <xf numFmtId="3" fontId="13" fillId="0" borderId="1" xfId="5" applyNumberFormat="1" applyFont="1" applyFill="1" applyBorder="1" applyAlignment="1">
      <alignment horizontal="right" vertical="center"/>
    </xf>
    <xf numFmtId="3" fontId="21" fillId="0" borderId="8" xfId="5" applyNumberFormat="1" applyFont="1" applyFill="1" applyBorder="1"/>
    <xf numFmtId="0" fontId="11" fillId="0" borderId="1" xfId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28" fillId="0" borderId="1" xfId="5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/>
    </xf>
    <xf numFmtId="0" fontId="9" fillId="0" borderId="1" xfId="5" applyFont="1" applyFill="1" applyBorder="1" applyAlignment="1">
      <alignment horizontal="center"/>
    </xf>
    <xf numFmtId="0" fontId="20" fillId="0" borderId="1" xfId="5" applyFont="1" applyFill="1" applyBorder="1" applyAlignment="1">
      <alignment horizontal="center" wrapText="1"/>
    </xf>
    <xf numFmtId="3" fontId="22" fillId="2" borderId="1" xfId="5" applyNumberFormat="1" applyFont="1" applyFill="1" applyBorder="1" applyAlignment="1">
      <alignment horizontal="right" vertical="center"/>
    </xf>
    <xf numFmtId="0" fontId="9" fillId="0" borderId="1" xfId="5" quotePrefix="1" applyFont="1" applyFill="1" applyBorder="1" applyAlignment="1">
      <alignment horizontal="center"/>
    </xf>
    <xf numFmtId="0" fontId="13" fillId="0" borderId="1" xfId="5" applyFont="1" applyFill="1" applyBorder="1" applyAlignment="1">
      <alignment horizontal="center" vertical="center" wrapText="1"/>
    </xf>
    <xf numFmtId="3" fontId="5" fillId="0" borderId="1" xfId="5" applyNumberFormat="1" applyFill="1" applyBorder="1"/>
    <xf numFmtId="0" fontId="13" fillId="0" borderId="1" xfId="5" applyFont="1" applyFill="1" applyBorder="1" applyAlignment="1">
      <alignment horizontal="center" wrapText="1"/>
    </xf>
    <xf numFmtId="0" fontId="20" fillId="0" borderId="1" xfId="5" applyFont="1" applyFill="1" applyBorder="1" applyAlignment="1">
      <alignment vertical="center"/>
    </xf>
    <xf numFmtId="0" fontId="18" fillId="0" borderId="1" xfId="5" applyFont="1" applyFill="1" applyBorder="1" applyAlignment="1">
      <alignment horizontal="center" wrapText="1"/>
    </xf>
    <xf numFmtId="3" fontId="15" fillId="2" borderId="1" xfId="6" applyNumberFormat="1" applyFont="1" applyFill="1" applyBorder="1" applyAlignment="1">
      <alignment vertical="center"/>
    </xf>
    <xf numFmtId="0" fontId="28" fillId="0" borderId="1" xfId="5" applyFont="1" applyFill="1" applyBorder="1" applyAlignment="1">
      <alignment horizontal="center" wrapText="1"/>
    </xf>
    <xf numFmtId="0" fontId="21" fillId="0" borderId="1" xfId="5" applyFont="1" applyFill="1" applyBorder="1" applyAlignment="1">
      <alignment horizontal="center" wrapText="1"/>
    </xf>
    <xf numFmtId="0" fontId="24" fillId="0" borderId="0" xfId="5" applyFont="1" applyFill="1" applyBorder="1" applyAlignment="1">
      <alignment horizontal="center"/>
    </xf>
    <xf numFmtId="0" fontId="24" fillId="0" borderId="0" xfId="5" applyFont="1" applyFill="1" applyBorder="1"/>
    <xf numFmtId="0" fontId="9" fillId="0" borderId="1" xfId="5" applyFont="1" applyFill="1" applyBorder="1" applyAlignment="1">
      <alignment vertical="center"/>
    </xf>
    <xf numFmtId="3" fontId="15" fillId="2" borderId="1" xfId="5" applyNumberFormat="1" applyFont="1" applyFill="1" applyBorder="1" applyAlignment="1">
      <alignment horizontal="right" vertical="center"/>
    </xf>
    <xf numFmtId="3" fontId="33" fillId="0" borderId="1" xfId="5" applyNumberFormat="1" applyFont="1" applyFill="1" applyBorder="1" applyAlignment="1">
      <alignment vertical="center"/>
    </xf>
    <xf numFmtId="3" fontId="32" fillId="0" borderId="1" xfId="5" applyNumberFormat="1" applyFont="1" applyFill="1" applyBorder="1" applyAlignment="1">
      <alignment horizontal="right" vertical="center" wrapText="1"/>
    </xf>
    <xf numFmtId="3" fontId="8" fillId="3" borderId="1" xfId="1" applyNumberFormat="1" applyFont="1" applyFill="1" applyBorder="1" applyAlignment="1">
      <alignment vertical="center"/>
    </xf>
    <xf numFmtId="1" fontId="14" fillId="3" borderId="1" xfId="1" applyNumberFormat="1" applyFont="1" applyFill="1" applyBorder="1" applyAlignment="1">
      <alignment vertical="center"/>
    </xf>
    <xf numFmtId="3" fontId="9" fillId="3" borderId="1" xfId="1" applyNumberFormat="1" applyFont="1" applyFill="1" applyBorder="1" applyAlignment="1">
      <alignment horizontal="right" vertical="center"/>
    </xf>
    <xf numFmtId="3" fontId="14" fillId="3" borderId="0" xfId="1" applyNumberFormat="1" applyFont="1" applyFill="1" applyBorder="1" applyAlignment="1">
      <alignment vertical="center"/>
    </xf>
    <xf numFmtId="3" fontId="14" fillId="3" borderId="1" xfId="1" applyNumberFormat="1" applyFont="1" applyFill="1" applyBorder="1" applyAlignment="1">
      <alignment vertical="center"/>
    </xf>
    <xf numFmtId="3" fontId="8" fillId="3" borderId="5" xfId="1" applyNumberFormat="1" applyFont="1" applyFill="1" applyBorder="1" applyAlignment="1">
      <alignment vertical="center"/>
    </xf>
    <xf numFmtId="3" fontId="8" fillId="3" borderId="0" xfId="1" applyNumberFormat="1" applyFont="1" applyFill="1" applyBorder="1" applyAlignment="1">
      <alignment vertical="center"/>
    </xf>
    <xf numFmtId="3" fontId="9" fillId="0" borderId="0" xfId="1" applyNumberFormat="1" applyFont="1" applyFill="1"/>
    <xf numFmtId="165" fontId="13" fillId="0" borderId="1" xfId="1" applyNumberFormat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3" fontId="15" fillId="2" borderId="1" xfId="5" applyNumberFormat="1" applyFont="1" applyFill="1" applyBorder="1" applyAlignment="1">
      <alignment horizontal="right" vertical="center" wrapText="1"/>
    </xf>
    <xf numFmtId="3" fontId="15" fillId="2" borderId="1" xfId="5" applyNumberFormat="1" applyFont="1" applyFill="1" applyBorder="1" applyAlignment="1">
      <alignment vertical="center"/>
    </xf>
    <xf numFmtId="0" fontId="22" fillId="0" borderId="1" xfId="5" applyFont="1" applyFill="1" applyBorder="1" applyAlignment="1">
      <alignment horizontal="left" vertical="center"/>
    </xf>
    <xf numFmtId="0" fontId="23" fillId="0" borderId="1" xfId="5" applyFont="1" applyFill="1" applyBorder="1" applyAlignment="1">
      <alignment horizontal="center" vertical="center" wrapText="1"/>
    </xf>
    <xf numFmtId="3" fontId="23" fillId="0" borderId="1" xfId="5" applyNumberFormat="1" applyFont="1" applyFill="1" applyBorder="1" applyAlignment="1">
      <alignment horizontal="center" vertical="center" wrapText="1"/>
    </xf>
    <xf numFmtId="3" fontId="21" fillId="0" borderId="1" xfId="5" applyNumberFormat="1" applyFont="1" applyFill="1" applyBorder="1" applyAlignment="1">
      <alignment horizontal="center" vertical="center" wrapText="1"/>
    </xf>
    <xf numFmtId="3" fontId="34" fillId="0" borderId="0" xfId="1" applyNumberFormat="1" applyFont="1" applyFill="1"/>
    <xf numFmtId="3" fontId="35" fillId="0" borderId="0" xfId="5" applyNumberFormat="1" applyFont="1" applyFill="1"/>
    <xf numFmtId="165" fontId="34" fillId="0" borderId="0" xfId="1" applyNumberFormat="1" applyFont="1" applyFill="1"/>
    <xf numFmtId="165" fontId="36" fillId="0" borderId="0" xfId="1" applyNumberFormat="1" applyFont="1" applyFill="1"/>
    <xf numFmtId="3" fontId="36" fillId="0" borderId="0" xfId="1" applyNumberFormat="1" applyFont="1" applyFill="1"/>
    <xf numFmtId="165" fontId="13" fillId="0" borderId="1" xfId="1" applyNumberFormat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166" fontId="21" fillId="0" borderId="1" xfId="11" applyNumberFormat="1" applyFont="1" applyFill="1" applyBorder="1" applyAlignment="1">
      <alignment horizontal="center" vertical="center" wrapText="1"/>
    </xf>
    <xf numFmtId="3" fontId="28" fillId="0" borderId="0" xfId="5" applyNumberFormat="1" applyFont="1" applyFill="1"/>
    <xf numFmtId="3" fontId="42" fillId="0" borderId="1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/>
    <xf numFmtId="3" fontId="28" fillId="0" borderId="1" xfId="5" applyNumberFormat="1" applyFont="1" applyFill="1" applyBorder="1" applyAlignment="1">
      <alignment horizontal="center" vertical="center" wrapText="1"/>
    </xf>
    <xf numFmtId="166" fontId="28" fillId="0" borderId="1" xfId="5" applyNumberFormat="1" applyFont="1" applyFill="1" applyBorder="1" applyAlignment="1">
      <alignment horizontal="center" vertical="center" wrapText="1"/>
    </xf>
    <xf numFmtId="3" fontId="29" fillId="0" borderId="1" xfId="5" applyNumberFormat="1" applyFont="1" applyFill="1" applyBorder="1" applyAlignment="1">
      <alignment horizontal="right" vertical="center" wrapText="1"/>
    </xf>
    <xf numFmtId="3" fontId="43" fillId="0" borderId="0" xfId="1" applyNumberFormat="1" applyFont="1" applyFill="1" applyBorder="1" applyAlignment="1">
      <alignment horizontal="right" vertical="center" wrapText="1"/>
    </xf>
    <xf numFmtId="3" fontId="21" fillId="2" borderId="0" xfId="5" applyNumberFormat="1" applyFont="1" applyFill="1"/>
    <xf numFmtId="0" fontId="21" fillId="2" borderId="1" xfId="5" applyFont="1" applyFill="1" applyBorder="1" applyAlignment="1">
      <alignment horizontal="center"/>
    </xf>
    <xf numFmtId="0" fontId="30" fillId="2" borderId="1" xfId="5" applyFont="1" applyFill="1" applyBorder="1" applyAlignment="1">
      <alignment horizontal="center" vertical="center"/>
    </xf>
    <xf numFmtId="3" fontId="21" fillId="2" borderId="1" xfId="5" applyNumberFormat="1" applyFont="1" applyFill="1" applyBorder="1" applyAlignment="1">
      <alignment horizontal="right" vertical="center"/>
    </xf>
    <xf numFmtId="0" fontId="21" fillId="2" borderId="0" xfId="5" applyFont="1" applyFill="1"/>
    <xf numFmtId="0" fontId="44" fillId="0" borderId="0" xfId="12"/>
    <xf numFmtId="3" fontId="44" fillId="0" borderId="0" xfId="12" applyNumberFormat="1"/>
    <xf numFmtId="0" fontId="45" fillId="0" borderId="1" xfId="12" applyFont="1" applyBorder="1"/>
    <xf numFmtId="49" fontId="8" fillId="0" borderId="1" xfId="12" applyNumberFormat="1" applyFont="1" applyBorder="1" applyAlignment="1">
      <alignment horizontal="center"/>
    </xf>
    <xf numFmtId="3" fontId="8" fillId="0" borderId="5" xfId="12" applyNumberFormat="1" applyFont="1" applyBorder="1"/>
    <xf numFmtId="0" fontId="8" fillId="0" borderId="5" xfId="12" applyFont="1" applyBorder="1" applyAlignment="1">
      <alignment wrapText="1"/>
    </xf>
    <xf numFmtId="49" fontId="8" fillId="0" borderId="4" xfId="12" applyNumberFormat="1" applyFont="1" applyBorder="1" applyAlignment="1">
      <alignment horizontal="center"/>
    </xf>
    <xf numFmtId="3" fontId="8" fillId="0" borderId="9" xfId="12" applyNumberFormat="1" applyFont="1" applyBorder="1"/>
    <xf numFmtId="0" fontId="8" fillId="0" borderId="9" xfId="12" applyFont="1" applyBorder="1" applyAlignment="1">
      <alignment wrapText="1"/>
    </xf>
    <xf numFmtId="49" fontId="8" fillId="0" borderId="19" xfId="12" applyNumberFormat="1" applyFont="1" applyBorder="1" applyAlignment="1">
      <alignment horizontal="center"/>
    </xf>
    <xf numFmtId="0" fontId="14" fillId="0" borderId="0" xfId="12" applyFont="1"/>
    <xf numFmtId="165" fontId="14" fillId="0" borderId="0" xfId="12" applyNumberFormat="1" applyFont="1"/>
    <xf numFmtId="165" fontId="8" fillId="0" borderId="0" xfId="12" applyNumberFormat="1" applyFont="1" applyAlignment="1">
      <alignment horizontal="right"/>
    </xf>
    <xf numFmtId="0" fontId="8" fillId="0" borderId="0" xfId="12" applyFont="1"/>
    <xf numFmtId="49" fontId="8" fillId="0" borderId="0" xfId="12" applyNumberFormat="1" applyFont="1" applyAlignment="1">
      <alignment horizontal="left"/>
    </xf>
    <xf numFmtId="165" fontId="14" fillId="0" borderId="0" xfId="12" applyNumberFormat="1" applyFont="1" applyAlignment="1">
      <alignment horizontal="center" vertical="center"/>
    </xf>
    <xf numFmtId="49" fontId="14" fillId="0" borderId="0" xfId="12" applyNumberFormat="1" applyFont="1" applyAlignment="1">
      <alignment horizontal="center"/>
    </xf>
    <xf numFmtId="3" fontId="8" fillId="0" borderId="6" xfId="12" applyNumberFormat="1" applyFont="1" applyBorder="1"/>
    <xf numFmtId="0" fontId="8" fillId="0" borderId="6" xfId="12" applyFont="1" applyBorder="1"/>
    <xf numFmtId="49" fontId="8" fillId="0" borderId="6" xfId="12" applyNumberFormat="1" applyFont="1" applyBorder="1" applyAlignment="1">
      <alignment horizontal="center"/>
    </xf>
    <xf numFmtId="0" fontId="8" fillId="0" borderId="5" xfId="12" applyFont="1" applyBorder="1"/>
    <xf numFmtId="0" fontId="14" fillId="0" borderId="1" xfId="12" applyFont="1" applyBorder="1"/>
    <xf numFmtId="3" fontId="14" fillId="0" borderId="1" xfId="12" applyNumberFormat="1" applyFont="1" applyBorder="1"/>
    <xf numFmtId="3" fontId="8" fillId="0" borderId="1" xfId="12" applyNumberFormat="1" applyFont="1" applyBorder="1"/>
    <xf numFmtId="0" fontId="8" fillId="0" borderId="1" xfId="12" applyFont="1" applyBorder="1"/>
    <xf numFmtId="3" fontId="14" fillId="0" borderId="3" xfId="12" applyNumberFormat="1" applyFont="1" applyBorder="1"/>
    <xf numFmtId="0" fontId="14" fillId="0" borderId="3" xfId="12" applyFont="1" applyBorder="1"/>
    <xf numFmtId="0" fontId="8" fillId="0" borderId="6" xfId="12" applyFont="1" applyBorder="1" applyAlignment="1">
      <alignment horizontal="center"/>
    </xf>
    <xf numFmtId="165" fontId="8" fillId="0" borderId="6" xfId="12" applyNumberFormat="1" applyFont="1" applyBorder="1" applyAlignment="1">
      <alignment horizontal="center" vertical="center" wrapText="1"/>
    </xf>
    <xf numFmtId="0" fontId="8" fillId="0" borderId="6" xfId="12" applyFont="1" applyBorder="1" applyAlignment="1">
      <alignment horizontal="center" vertical="center"/>
    </xf>
    <xf numFmtId="49" fontId="8" fillId="0" borderId="6" xfId="12" applyNumberFormat="1" applyFont="1" applyBorder="1" applyAlignment="1">
      <alignment horizontal="center" vertical="center" wrapText="1"/>
    </xf>
    <xf numFmtId="165" fontId="14" fillId="0" borderId="6" xfId="12" applyNumberFormat="1" applyFont="1" applyBorder="1" applyAlignment="1">
      <alignment horizontal="center"/>
    </xf>
    <xf numFmtId="165" fontId="8" fillId="0" borderId="6" xfId="12" applyNumberFormat="1" applyFont="1" applyBorder="1" applyAlignment="1">
      <alignment horizontal="center"/>
    </xf>
    <xf numFmtId="3" fontId="8" fillId="0" borderId="0" xfId="12" applyNumberFormat="1" applyFont="1" applyBorder="1"/>
    <xf numFmtId="0" fontId="8" fillId="0" borderId="0" xfId="12" applyFont="1" applyBorder="1" applyAlignment="1">
      <alignment wrapText="1"/>
    </xf>
    <xf numFmtId="49" fontId="8" fillId="0" borderId="0" xfId="12" applyNumberFormat="1" applyFont="1" applyBorder="1" applyAlignment="1">
      <alignment horizontal="center"/>
    </xf>
    <xf numFmtId="0" fontId="8" fillId="0" borderId="1" xfId="12" applyFont="1" applyBorder="1" applyAlignment="1">
      <alignment wrapText="1"/>
    </xf>
    <xf numFmtId="0" fontId="14" fillId="0" borderId="1" xfId="12" applyFont="1" applyBorder="1" applyAlignment="1">
      <alignment wrapText="1"/>
    </xf>
    <xf numFmtId="165" fontId="8" fillId="0" borderId="1" xfId="12" applyNumberFormat="1" applyFont="1" applyBorder="1" applyAlignment="1">
      <alignment horizontal="center" vertical="center" wrapText="1"/>
    </xf>
    <xf numFmtId="0" fontId="8" fillId="0" borderId="1" xfId="12" applyFont="1" applyBorder="1" applyAlignment="1">
      <alignment horizontal="center" vertical="center"/>
    </xf>
    <xf numFmtId="49" fontId="8" fillId="0" borderId="1" xfId="12" applyNumberFormat="1" applyFont="1" applyBorder="1" applyAlignment="1">
      <alignment horizontal="center" vertical="center" wrapText="1"/>
    </xf>
    <xf numFmtId="165" fontId="8" fillId="0" borderId="1" xfId="12" applyNumberFormat="1" applyFont="1" applyBorder="1" applyAlignment="1">
      <alignment horizontal="center" vertical="center"/>
    </xf>
    <xf numFmtId="3" fontId="8" fillId="0" borderId="1" xfId="12" applyNumberFormat="1" applyFont="1" applyBorder="1" applyAlignment="1">
      <alignment horizontal="center" vertical="center"/>
    </xf>
    <xf numFmtId="49" fontId="8" fillId="0" borderId="1" xfId="12" applyNumberFormat="1" applyFont="1" applyBorder="1" applyAlignment="1">
      <alignment horizontal="center" vertical="center"/>
    </xf>
    <xf numFmtId="0" fontId="48" fillId="0" borderId="0" xfId="12" applyFont="1" applyAlignment="1">
      <alignment horizontal="center"/>
    </xf>
    <xf numFmtId="0" fontId="49" fillId="0" borderId="0" xfId="12" applyFont="1"/>
    <xf numFmtId="0" fontId="44" fillId="0" borderId="0" xfId="12" applyAlignment="1">
      <alignment horizontal="center"/>
    </xf>
    <xf numFmtId="0" fontId="15" fillId="2" borderId="0" xfId="10" applyFont="1" applyFill="1" applyBorder="1" applyAlignment="1">
      <alignment wrapText="1"/>
    </xf>
    <xf numFmtId="0" fontId="15" fillId="2" borderId="0" xfId="10" applyFont="1" applyFill="1" applyBorder="1" applyAlignment="1"/>
    <xf numFmtId="0" fontId="50" fillId="0" borderId="0" xfId="10" applyFont="1"/>
    <xf numFmtId="0" fontId="50" fillId="2" borderId="24" xfId="10" applyFont="1" applyFill="1" applyBorder="1" applyAlignment="1"/>
    <xf numFmtId="0" fontId="50" fillId="2" borderId="0" xfId="10" applyFont="1" applyFill="1" applyBorder="1" applyAlignment="1"/>
    <xf numFmtId="0" fontId="50" fillId="2" borderId="0" xfId="10" applyFont="1" applyFill="1"/>
    <xf numFmtId="0" fontId="15" fillId="2" borderId="26" xfId="10" applyFont="1" applyFill="1" applyBorder="1" applyAlignment="1">
      <alignment wrapText="1"/>
    </xf>
    <xf numFmtId="0" fontId="50" fillId="2" borderId="27" xfId="10" applyFont="1" applyFill="1" applyBorder="1" applyAlignment="1"/>
    <xf numFmtId="0" fontId="50" fillId="2" borderId="28" xfId="10" applyFont="1" applyFill="1" applyBorder="1" applyAlignment="1"/>
    <xf numFmtId="0" fontId="50" fillId="2" borderId="29" xfId="10" applyFont="1" applyFill="1" applyBorder="1" applyAlignment="1"/>
    <xf numFmtId="0" fontId="51" fillId="2" borderId="28" xfId="10" applyFont="1" applyFill="1" applyBorder="1" applyAlignment="1">
      <alignment wrapText="1"/>
    </xf>
    <xf numFmtId="0" fontId="51" fillId="2" borderId="0" xfId="10" applyFont="1" applyFill="1" applyBorder="1" applyAlignment="1">
      <alignment wrapText="1"/>
    </xf>
    <xf numFmtId="0" fontId="15" fillId="2" borderId="30" xfId="10" applyFont="1" applyFill="1" applyBorder="1" applyAlignment="1"/>
    <xf numFmtId="0" fontId="15" fillId="2" borderId="31" xfId="10" applyFont="1" applyFill="1" applyBorder="1" applyAlignment="1"/>
    <xf numFmtId="0" fontId="29" fillId="0" borderId="19" xfId="14" applyFont="1" applyFill="1" applyBorder="1" applyAlignment="1">
      <alignment horizontal="center"/>
    </xf>
    <xf numFmtId="3" fontId="29" fillId="0" borderId="9" xfId="15" applyNumberFormat="1" applyFont="1" applyFill="1" applyBorder="1" applyAlignment="1">
      <alignment horizontal="center"/>
    </xf>
    <xf numFmtId="0" fontId="29" fillId="0" borderId="20" xfId="10" applyFont="1" applyFill="1" applyBorder="1" applyAlignment="1">
      <alignment horizontal="center"/>
    </xf>
    <xf numFmtId="0" fontId="31" fillId="0" borderId="0" xfId="10" applyFont="1" applyFill="1" applyAlignment="1">
      <alignment horizontal="right"/>
    </xf>
    <xf numFmtId="0" fontId="31" fillId="0" borderId="0" xfId="10" applyFont="1"/>
    <xf numFmtId="0" fontId="15" fillId="0" borderId="2" xfId="14" applyFont="1" applyFill="1" applyBorder="1" applyAlignment="1">
      <alignment horizontal="center"/>
    </xf>
    <xf numFmtId="0" fontId="15" fillId="0" borderId="1" xfId="10" applyFont="1" applyFill="1" applyBorder="1" applyAlignment="1">
      <alignment horizontal="left" wrapText="1"/>
    </xf>
    <xf numFmtId="0" fontId="53" fillId="0" borderId="0" xfId="10" applyFont="1" applyBorder="1" applyAlignment="1">
      <alignment horizontal="left"/>
    </xf>
    <xf numFmtId="3" fontId="53" fillId="0" borderId="0" xfId="10" applyNumberFormat="1" applyFont="1"/>
    <xf numFmtId="3" fontId="15" fillId="0" borderId="1" xfId="10" applyNumberFormat="1" applyFont="1" applyBorder="1"/>
    <xf numFmtId="0" fontId="21" fillId="0" borderId="1" xfId="10" applyFont="1" applyFill="1" applyBorder="1" applyAlignment="1" applyProtection="1">
      <alignment horizontal="left" vertical="center" wrapText="1"/>
      <protection locked="0"/>
    </xf>
    <xf numFmtId="0" fontId="14" fillId="0" borderId="1" xfId="10" applyFont="1" applyFill="1" applyBorder="1" applyAlignment="1">
      <alignment vertical="center" wrapText="1"/>
    </xf>
    <xf numFmtId="3" fontId="15" fillId="0" borderId="16" xfId="10" applyNumberFormat="1" applyFont="1" applyBorder="1"/>
    <xf numFmtId="3" fontId="29" fillId="0" borderId="1" xfId="10" applyNumberFormat="1" applyFont="1" applyFill="1" applyBorder="1"/>
    <xf numFmtId="3" fontId="29" fillId="0" borderId="16" xfId="10" applyNumberFormat="1" applyFont="1" applyFill="1" applyBorder="1"/>
    <xf numFmtId="3" fontId="15" fillId="0" borderId="0" xfId="15" applyNumberFormat="1" applyFont="1" applyFill="1" applyAlignment="1">
      <alignment horizontal="right"/>
    </xf>
    <xf numFmtId="3" fontId="53" fillId="0" borderId="0" xfId="10" applyNumberFormat="1" applyFont="1" applyBorder="1" applyAlignment="1">
      <alignment horizontal="left"/>
    </xf>
    <xf numFmtId="3" fontId="15" fillId="0" borderId="1" xfId="10" applyNumberFormat="1" applyFont="1" applyFill="1" applyBorder="1"/>
    <xf numFmtId="3" fontId="15" fillId="0" borderId="16" xfId="10" applyNumberFormat="1" applyFont="1" applyFill="1" applyBorder="1"/>
    <xf numFmtId="3" fontId="29" fillId="0" borderId="21" xfId="10" applyNumberFormat="1" applyFont="1" applyFill="1" applyBorder="1"/>
    <xf numFmtId="3" fontId="29" fillId="0" borderId="22" xfId="10" applyNumberFormat="1" applyFont="1" applyFill="1" applyBorder="1"/>
    <xf numFmtId="0" fontId="15" fillId="0" borderId="0" xfId="14" applyFont="1" applyFill="1"/>
    <xf numFmtId="0" fontId="29" fillId="0" borderId="0" xfId="10" applyFont="1" applyFill="1" applyAlignment="1">
      <alignment horizontal="left" wrapText="1"/>
    </xf>
    <xf numFmtId="3" fontId="31" fillId="0" borderId="0" xfId="10" applyNumberFormat="1" applyFont="1" applyFill="1" applyAlignment="1">
      <alignment horizontal="right"/>
    </xf>
    <xf numFmtId="0" fontId="15" fillId="0" borderId="0" xfId="10" applyFont="1" applyFill="1"/>
    <xf numFmtId="0" fontId="15" fillId="0" borderId="0" xfId="10" applyFont="1" applyFill="1" applyAlignment="1">
      <alignment wrapText="1"/>
    </xf>
    <xf numFmtId="3" fontId="15" fillId="0" borderId="0" xfId="10" applyNumberFormat="1" applyFont="1" applyFill="1"/>
    <xf numFmtId="0" fontId="29" fillId="0" borderId="0" xfId="10" applyFont="1" applyFill="1" applyAlignment="1">
      <alignment wrapText="1"/>
    </xf>
    <xf numFmtId="3" fontId="29" fillId="0" borderId="0" xfId="10" applyNumberFormat="1" applyFont="1" applyFill="1"/>
    <xf numFmtId="0" fontId="15" fillId="0" borderId="0" xfId="10" applyFont="1"/>
    <xf numFmtId="0" fontId="15" fillId="0" borderId="0" xfId="10" applyFont="1" applyAlignment="1">
      <alignment wrapText="1"/>
    </xf>
    <xf numFmtId="3" fontId="15" fillId="0" borderId="0" xfId="10" applyNumberFormat="1" applyFont="1"/>
    <xf numFmtId="3" fontId="15" fillId="0" borderId="0" xfId="15" applyNumberFormat="1" applyFont="1" applyAlignment="1">
      <alignment horizontal="right"/>
    </xf>
    <xf numFmtId="0" fontId="29" fillId="0" borderId="0" xfId="14" applyFont="1" applyAlignment="1">
      <alignment wrapText="1"/>
    </xf>
    <xf numFmtId="3" fontId="29" fillId="0" borderId="0" xfId="10" applyNumberFormat="1" applyFont="1"/>
    <xf numFmtId="0" fontId="15" fillId="0" borderId="0" xfId="14" applyFont="1"/>
    <xf numFmtId="0" fontId="29" fillId="0" borderId="0" xfId="10" applyFont="1" applyAlignment="1">
      <alignment horizontal="left" wrapText="1"/>
    </xf>
    <xf numFmtId="0" fontId="29" fillId="0" borderId="0" xfId="10" applyFont="1" applyAlignment="1">
      <alignment horizontal="right"/>
    </xf>
    <xf numFmtId="0" fontId="54" fillId="0" borderId="0" xfId="14" applyFont="1" applyAlignment="1">
      <alignment wrapText="1"/>
    </xf>
    <xf numFmtId="3" fontId="29" fillId="0" borderId="0" xfId="10" applyNumberFormat="1" applyFont="1" applyAlignment="1">
      <alignment horizontal="right"/>
    </xf>
    <xf numFmtId="3" fontId="29" fillId="0" borderId="0" xfId="15" applyNumberFormat="1" applyFont="1" applyAlignment="1">
      <alignment horizontal="right"/>
    </xf>
    <xf numFmtId="3" fontId="15" fillId="0" borderId="0" xfId="10" applyNumberFormat="1" applyFont="1" applyAlignment="1">
      <alignment horizontal="right"/>
    </xf>
    <xf numFmtId="0" fontId="54" fillId="0" borderId="0" xfId="10" applyFont="1" applyAlignment="1">
      <alignment wrapText="1"/>
    </xf>
    <xf numFmtId="0" fontId="29" fillId="0" borderId="0" xfId="10" applyFont="1" applyAlignment="1">
      <alignment wrapText="1"/>
    </xf>
    <xf numFmtId="3" fontId="29" fillId="0" borderId="0" xfId="14" applyNumberFormat="1" applyFont="1"/>
    <xf numFmtId="0" fontId="31" fillId="0" borderId="0" xfId="10" applyFont="1" applyAlignment="1">
      <alignment horizontal="right"/>
    </xf>
    <xf numFmtId="0" fontId="15" fillId="0" borderId="0" xfId="14" applyFont="1" applyAlignment="1">
      <alignment wrapText="1"/>
    </xf>
    <xf numFmtId="0" fontId="55" fillId="0" borderId="0" xfId="14" applyFont="1" applyAlignment="1">
      <alignment wrapText="1"/>
    </xf>
    <xf numFmtId="0" fontId="29" fillId="0" borderId="0" xfId="14" applyFont="1"/>
    <xf numFmtId="0" fontId="15" fillId="0" borderId="0" xfId="14" applyFont="1" applyAlignment="1">
      <alignment horizontal="right"/>
    </xf>
    <xf numFmtId="3" fontId="15" fillId="0" borderId="0" xfId="14" applyNumberFormat="1" applyFont="1"/>
    <xf numFmtId="0" fontId="15" fillId="0" borderId="0" xfId="10" applyFont="1" applyAlignment="1">
      <alignment horizontal="right"/>
    </xf>
    <xf numFmtId="167" fontId="56" fillId="0" borderId="0" xfId="10" applyNumberFormat="1" applyFont="1"/>
    <xf numFmtId="37" fontId="15" fillId="0" borderId="0" xfId="10" applyNumberFormat="1" applyFont="1" applyAlignment="1">
      <alignment wrapText="1"/>
    </xf>
    <xf numFmtId="167" fontId="15" fillId="0" borderId="0" xfId="10" applyNumberFormat="1" applyFont="1"/>
    <xf numFmtId="167" fontId="29" fillId="0" borderId="0" xfId="10" applyNumberFormat="1" applyFont="1"/>
    <xf numFmtId="167" fontId="57" fillId="0" borderId="0" xfId="10" applyNumberFormat="1" applyFont="1"/>
    <xf numFmtId="37" fontId="15" fillId="0" borderId="0" xfId="10" applyNumberFormat="1" applyFont="1" applyAlignment="1">
      <alignment horizontal="right"/>
    </xf>
    <xf numFmtId="37" fontId="29" fillId="0" borderId="0" xfId="10" applyNumberFormat="1" applyFont="1" applyAlignment="1">
      <alignment wrapText="1"/>
    </xf>
    <xf numFmtId="37" fontId="15" fillId="0" borderId="0" xfId="10" applyNumberFormat="1" applyFont="1"/>
    <xf numFmtId="0" fontId="58" fillId="0" borderId="0" xfId="10" applyFont="1"/>
    <xf numFmtId="0" fontId="59" fillId="0" borderId="0" xfId="10" applyFont="1" applyAlignment="1">
      <alignment wrapText="1"/>
    </xf>
    <xf numFmtId="167" fontId="59" fillId="0" borderId="0" xfId="10" applyNumberFormat="1" applyFont="1"/>
    <xf numFmtId="167" fontId="58" fillId="0" borderId="0" xfId="10" applyNumberFormat="1" applyFont="1"/>
    <xf numFmtId="167" fontId="60" fillId="0" borderId="0" xfId="10" applyNumberFormat="1" applyFont="1"/>
    <xf numFmtId="167" fontId="15" fillId="0" borderId="0" xfId="10" applyNumberFormat="1" applyFont="1" applyAlignment="1">
      <alignment horizontal="right"/>
    </xf>
    <xf numFmtId="0" fontId="31" fillId="0" borderId="0" xfId="10" applyFont="1" applyAlignment="1">
      <alignment wrapText="1"/>
    </xf>
    <xf numFmtId="167" fontId="31" fillId="0" borderId="0" xfId="10" applyNumberFormat="1" applyFont="1"/>
    <xf numFmtId="0" fontId="63" fillId="0" borderId="1" xfId="10" applyFont="1" applyFill="1" applyBorder="1" applyAlignment="1">
      <alignment vertical="center" wrapText="1"/>
    </xf>
    <xf numFmtId="3" fontId="61" fillId="0" borderId="1" xfId="10" applyNumberFormat="1" applyFont="1" applyFill="1" applyBorder="1" applyAlignment="1">
      <alignment vertical="center"/>
    </xf>
    <xf numFmtId="0" fontId="30" fillId="0" borderId="1" xfId="10" applyFont="1" applyFill="1" applyBorder="1" applyAlignment="1">
      <alignment vertical="center" wrapText="1"/>
    </xf>
    <xf numFmtId="3" fontId="30" fillId="0" borderId="1" xfId="10" applyNumberFormat="1" applyFont="1" applyFill="1" applyBorder="1" applyAlignment="1">
      <alignment horizontal="right" vertical="center"/>
    </xf>
    <xf numFmtId="3" fontId="31" fillId="0" borderId="0" xfId="10" applyNumberFormat="1" applyFont="1"/>
    <xf numFmtId="0" fontId="30" fillId="0" borderId="0" xfId="10" applyFont="1" applyFill="1" applyAlignment="1">
      <alignment horizontal="center"/>
    </xf>
    <xf numFmtId="0" fontId="27" fillId="0" borderId="0" xfId="10" applyFont="1" applyFill="1"/>
    <xf numFmtId="168" fontId="31" fillId="0" borderId="0" xfId="10" applyNumberFormat="1" applyFont="1" applyFill="1"/>
    <xf numFmtId="0" fontId="57" fillId="0" borderId="0" xfId="10" applyFont="1" applyFill="1" applyAlignment="1">
      <alignment horizontal="center"/>
    </xf>
    <xf numFmtId="0" fontId="56" fillId="0" borderId="0" xfId="10" applyFont="1" applyFill="1"/>
    <xf numFmtId="0" fontId="57" fillId="0" borderId="0" xfId="10" applyFont="1" applyAlignment="1">
      <alignment horizontal="center"/>
    </xf>
    <xf numFmtId="0" fontId="57" fillId="0" borderId="0" xfId="10" applyFont="1"/>
    <xf numFmtId="0" fontId="64" fillId="0" borderId="0" xfId="10" applyFont="1" applyAlignment="1">
      <alignment horizontal="center"/>
    </xf>
    <xf numFmtId="0" fontId="65" fillId="0" borderId="0" xfId="10" applyFont="1" applyAlignment="1"/>
    <xf numFmtId="0" fontId="31" fillId="0" borderId="0" xfId="10" applyFont="1" applyAlignment="1"/>
    <xf numFmtId="168" fontId="31" fillId="0" borderId="0" xfId="10" applyNumberFormat="1" applyFont="1"/>
    <xf numFmtId="0" fontId="56" fillId="0" borderId="0" xfId="10" applyFont="1"/>
    <xf numFmtId="0" fontId="52" fillId="0" borderId="0" xfId="10" applyFont="1" applyAlignment="1">
      <alignment horizontal="center"/>
    </xf>
    <xf numFmtId="0" fontId="31" fillId="0" borderId="0" xfId="10" applyFont="1" applyAlignment="1">
      <alignment horizontal="center"/>
    </xf>
    <xf numFmtId="167" fontId="29" fillId="0" borderId="2" xfId="16" applyNumberFormat="1" applyFont="1" applyBorder="1" applyAlignment="1">
      <alignment horizontal="right"/>
    </xf>
    <xf numFmtId="167" fontId="29" fillId="0" borderId="1" xfId="16" applyNumberFormat="1" applyFont="1" applyFill="1" applyBorder="1" applyAlignment="1">
      <alignment horizontal="left" wrapText="1"/>
    </xf>
    <xf numFmtId="3" fontId="15" fillId="0" borderId="1" xfId="16" applyNumberFormat="1" applyFont="1" applyFill="1" applyBorder="1" applyAlignment="1">
      <alignment horizontal="centerContinuous"/>
    </xf>
    <xf numFmtId="0" fontId="15" fillId="0" borderId="16" xfId="10" applyFont="1" applyBorder="1"/>
    <xf numFmtId="3" fontId="29" fillId="0" borderId="16" xfId="10" applyNumberFormat="1" applyFont="1" applyBorder="1"/>
    <xf numFmtId="3" fontId="66" fillId="0" borderId="1" xfId="10" applyNumberFormat="1" applyFont="1" applyFill="1" applyBorder="1"/>
    <xf numFmtId="3" fontId="53" fillId="0" borderId="0" xfId="10" applyNumberFormat="1" applyFont="1" applyBorder="1"/>
    <xf numFmtId="0" fontId="15" fillId="0" borderId="1" xfId="10" applyFont="1" applyFill="1" applyBorder="1" applyAlignment="1">
      <alignment horizontal="left"/>
    </xf>
    <xf numFmtId="0" fontId="53" fillId="0" borderId="0" xfId="10" applyFont="1"/>
    <xf numFmtId="3" fontId="15" fillId="0" borderId="0" xfId="10" applyNumberFormat="1" applyFont="1" applyFill="1" applyBorder="1"/>
    <xf numFmtId="0" fontId="15" fillId="0" borderId="0" xfId="10" applyFont="1" applyBorder="1" applyAlignment="1">
      <alignment horizontal="left"/>
    </xf>
    <xf numFmtId="3" fontId="15" fillId="0" borderId="0" xfId="10" applyNumberFormat="1" applyFont="1" applyBorder="1"/>
    <xf numFmtId="0" fontId="31" fillId="0" borderId="1" xfId="10" applyFont="1" applyBorder="1" applyAlignment="1">
      <alignment wrapText="1"/>
    </xf>
    <xf numFmtId="0" fontId="31" fillId="0" borderId="1" xfId="10" applyFont="1" applyBorder="1"/>
    <xf numFmtId="3" fontId="15" fillId="0" borderId="1" xfId="10" applyNumberFormat="1" applyFont="1" applyFill="1" applyBorder="1" applyAlignment="1">
      <alignment wrapText="1"/>
    </xf>
    <xf numFmtId="0" fontId="67" fillId="0" borderId="0" xfId="10" applyFont="1"/>
    <xf numFmtId="3" fontId="67" fillId="0" borderId="0" xfId="10" applyNumberFormat="1" applyFont="1"/>
    <xf numFmtId="3" fontId="15" fillId="0" borderId="23" xfId="10" applyNumberFormat="1" applyFont="1" applyBorder="1"/>
    <xf numFmtId="0" fontId="15" fillId="0" borderId="0" xfId="10" applyFont="1" applyFill="1" applyBorder="1" applyAlignment="1">
      <alignment horizontal="left"/>
    </xf>
    <xf numFmtId="0" fontId="31" fillId="0" borderId="0" xfId="10" applyFont="1" applyFill="1"/>
    <xf numFmtId="0" fontId="29" fillId="0" borderId="0" xfId="10" applyFont="1" applyFill="1"/>
    <xf numFmtId="0" fontId="68" fillId="0" borderId="0" xfId="10" applyFont="1"/>
    <xf numFmtId="0" fontId="68" fillId="0" borderId="0" xfId="10" applyFont="1" applyFill="1"/>
    <xf numFmtId="0" fontId="15" fillId="0" borderId="0" xfId="16" applyFont="1"/>
    <xf numFmtId="0" fontId="29" fillId="0" borderId="0" xfId="16" applyFont="1" applyFill="1"/>
    <xf numFmtId="0" fontId="15" fillId="0" borderId="0" xfId="16" applyFont="1" applyFill="1"/>
    <xf numFmtId="167" fontId="57" fillId="0" borderId="0" xfId="10" applyNumberFormat="1" applyFont="1" applyFill="1"/>
    <xf numFmtId="0" fontId="57" fillId="0" borderId="0" xfId="10" applyFont="1" applyFill="1"/>
    <xf numFmtId="0" fontId="15" fillId="0" borderId="0" xfId="10" applyFont="1" applyFill="1" applyBorder="1" applyAlignment="1">
      <alignment wrapText="1"/>
    </xf>
    <xf numFmtId="0" fontId="15" fillId="0" borderId="0" xfId="10" applyFont="1" applyFill="1" applyBorder="1" applyAlignment="1"/>
    <xf numFmtId="0" fontId="50" fillId="0" borderId="0" xfId="10" applyFont="1" applyFill="1"/>
    <xf numFmtId="0" fontId="50" fillId="0" borderId="0" xfId="10" applyFont="1" applyFill="1" applyBorder="1" applyAlignment="1"/>
    <xf numFmtId="0" fontId="15" fillId="0" borderId="26" xfId="10" applyFont="1" applyFill="1" applyBorder="1" applyAlignment="1">
      <alignment wrapText="1"/>
    </xf>
    <xf numFmtId="0" fontId="50" fillId="0" borderId="28" xfId="10" applyFont="1" applyFill="1" applyBorder="1" applyAlignment="1"/>
    <xf numFmtId="0" fontId="50" fillId="0" borderId="29" xfId="10" applyFont="1" applyFill="1" applyBorder="1" applyAlignment="1"/>
    <xf numFmtId="0" fontId="51" fillId="0" borderId="28" xfId="10" applyFont="1" applyFill="1" applyBorder="1" applyAlignment="1">
      <alignment wrapText="1"/>
    </xf>
    <xf numFmtId="0" fontId="51" fillId="0" borderId="0" xfId="10" applyFont="1" applyFill="1" applyBorder="1" applyAlignment="1">
      <alignment wrapText="1"/>
    </xf>
    <xf numFmtId="0" fontId="15" fillId="0" borderId="30" xfId="10" applyFont="1" applyFill="1" applyBorder="1" applyAlignment="1"/>
    <xf numFmtId="0" fontId="70" fillId="0" borderId="0" xfId="10" applyFont="1" applyFill="1" applyBorder="1"/>
    <xf numFmtId="0" fontId="70" fillId="0" borderId="0" xfId="10" applyFont="1" applyFill="1"/>
    <xf numFmtId="0" fontId="70" fillId="0" borderId="0" xfId="10" applyFont="1"/>
    <xf numFmtId="0" fontId="50" fillId="0" borderId="2" xfId="10" applyFont="1" applyFill="1" applyBorder="1" applyAlignment="1">
      <alignment horizontal="center"/>
    </xf>
    <xf numFmtId="0" fontId="50" fillId="0" borderId="1" xfId="10" applyFont="1" applyFill="1" applyBorder="1" applyAlignment="1">
      <alignment horizontal="left" wrapText="1"/>
    </xf>
    <xf numFmtId="3" fontId="50" fillId="0" borderId="1" xfId="10" applyNumberFormat="1" applyFont="1" applyFill="1" applyBorder="1"/>
    <xf numFmtId="3" fontId="50" fillId="0" borderId="16" xfId="10" applyNumberFormat="1" applyFont="1" applyFill="1" applyBorder="1"/>
    <xf numFmtId="0" fontId="50" fillId="0" borderId="1" xfId="10" applyFont="1" applyFill="1" applyBorder="1" applyAlignment="1">
      <alignment wrapText="1"/>
    </xf>
    <xf numFmtId="0" fontId="69" fillId="0" borderId="2" xfId="10" applyFont="1" applyFill="1" applyBorder="1" applyAlignment="1">
      <alignment horizontal="center"/>
    </xf>
    <xf numFmtId="0" fontId="69" fillId="0" borderId="1" xfId="10" applyFont="1" applyFill="1" applyBorder="1" applyAlignment="1">
      <alignment wrapText="1"/>
    </xf>
    <xf numFmtId="3" fontId="69" fillId="0" borderId="1" xfId="10" applyNumberFormat="1" applyFont="1" applyFill="1" applyBorder="1"/>
    <xf numFmtId="3" fontId="69" fillId="0" borderId="16" xfId="10" applyNumberFormat="1" applyFont="1" applyFill="1" applyBorder="1"/>
    <xf numFmtId="0" fontId="50" fillId="2" borderId="1" xfId="10" applyFont="1" applyFill="1" applyBorder="1" applyAlignment="1">
      <alignment horizontal="left" wrapText="1"/>
    </xf>
    <xf numFmtId="0" fontId="50" fillId="0" borderId="4" xfId="10" applyFont="1" applyFill="1" applyBorder="1" applyAlignment="1">
      <alignment horizontal="center"/>
    </xf>
    <xf numFmtId="0" fontId="50" fillId="0" borderId="23" xfId="10" applyFont="1" applyFill="1" applyBorder="1" applyAlignment="1">
      <alignment horizontal="center"/>
    </xf>
    <xf numFmtId="0" fontId="69" fillId="0" borderId="21" xfId="10" applyFont="1" applyFill="1" applyBorder="1" applyAlignment="1">
      <alignment wrapText="1"/>
    </xf>
    <xf numFmtId="3" fontId="69" fillId="0" borderId="21" xfId="10" applyNumberFormat="1" applyFont="1" applyFill="1" applyBorder="1"/>
    <xf numFmtId="0" fontId="69" fillId="0" borderId="0" xfId="10" applyFont="1" applyFill="1" applyAlignment="1">
      <alignment horizontal="center"/>
    </xf>
    <xf numFmtId="0" fontId="69" fillId="0" borderId="0" xfId="10" applyFont="1" applyFill="1" applyAlignment="1">
      <alignment wrapText="1"/>
    </xf>
    <xf numFmtId="3" fontId="69" fillId="0" borderId="0" xfId="10" applyNumberFormat="1" applyFont="1" applyFill="1"/>
    <xf numFmtId="0" fontId="50" fillId="0" borderId="0" xfId="10" applyFont="1" applyBorder="1" applyAlignment="1">
      <alignment horizontal="right"/>
    </xf>
    <xf numFmtId="0" fontId="50" fillId="0" borderId="0" xfId="10" applyFont="1" applyFill="1" applyAlignment="1">
      <alignment horizontal="center"/>
    </xf>
    <xf numFmtId="3" fontId="50" fillId="0" borderId="0" xfId="10" applyNumberFormat="1" applyFont="1" applyFill="1"/>
    <xf numFmtId="0" fontId="69" fillId="0" borderId="0" xfId="10" applyFont="1" applyFill="1" applyAlignment="1">
      <alignment horizontal="left" wrapText="1"/>
    </xf>
    <xf numFmtId="0" fontId="69" fillId="0" borderId="0" xfId="10" applyFont="1" applyFill="1" applyAlignment="1">
      <alignment horizontal="left"/>
    </xf>
    <xf numFmtId="3" fontId="50" fillId="0" borderId="0" xfId="10" applyNumberFormat="1" applyFont="1" applyBorder="1"/>
    <xf numFmtId="0" fontId="50" fillId="0" borderId="0" xfId="10" applyFont="1" applyFill="1" applyBorder="1" applyAlignment="1">
      <alignment horizontal="left" wrapText="1"/>
    </xf>
    <xf numFmtId="3" fontId="50" fillId="0" borderId="0" xfId="10" applyNumberFormat="1" applyFont="1" applyFill="1" applyBorder="1"/>
    <xf numFmtId="3" fontId="69" fillId="0" borderId="0" xfId="10" applyNumberFormat="1" applyFont="1" applyBorder="1"/>
    <xf numFmtId="0" fontId="50" fillId="0" borderId="0" xfId="10" applyFont="1" applyFill="1" applyAlignment="1">
      <alignment wrapText="1"/>
    </xf>
    <xf numFmtId="0" fontId="50" fillId="0" borderId="0" xfId="14" applyFont="1" applyFill="1"/>
    <xf numFmtId="0" fontId="73" fillId="0" borderId="0" xfId="10" applyFont="1" applyFill="1" applyAlignment="1">
      <alignment wrapText="1"/>
    </xf>
    <xf numFmtId="3" fontId="50" fillId="0" borderId="0" xfId="15" applyNumberFormat="1" applyFont="1" applyFill="1" applyAlignment="1">
      <alignment horizontal="right"/>
    </xf>
    <xf numFmtId="0" fontId="50" fillId="0" borderId="0" xfId="10" applyFont="1" applyAlignment="1">
      <alignment horizontal="center"/>
    </xf>
    <xf numFmtId="0" fontId="50" fillId="0" borderId="0" xfId="10" applyFont="1" applyBorder="1" applyAlignment="1">
      <alignment horizontal="left" wrapText="1"/>
    </xf>
    <xf numFmtId="3" fontId="50" fillId="0" borderId="0" xfId="10" applyNumberFormat="1" applyFont="1"/>
    <xf numFmtId="0" fontId="50" fillId="0" borderId="0" xfId="10" applyFont="1" applyAlignment="1">
      <alignment wrapText="1"/>
    </xf>
    <xf numFmtId="0" fontId="69" fillId="0" borderId="0" xfId="10" applyFont="1" applyAlignment="1">
      <alignment wrapText="1"/>
    </xf>
    <xf numFmtId="3" fontId="69" fillId="0" borderId="0" xfId="10" applyNumberFormat="1" applyFont="1"/>
    <xf numFmtId="0" fontId="69" fillId="0" borderId="0" xfId="10" applyFont="1" applyBorder="1" applyAlignment="1">
      <alignment horizontal="right"/>
    </xf>
    <xf numFmtId="0" fontId="69" fillId="0" borderId="0" xfId="10" applyFont="1" applyAlignment="1">
      <alignment horizontal="center"/>
    </xf>
    <xf numFmtId="0" fontId="50" fillId="0" borderId="0" xfId="10" applyFont="1" applyAlignment="1">
      <alignment horizontal="left" wrapText="1"/>
    </xf>
    <xf numFmtId="0" fontId="50" fillId="0" borderId="0" xfId="10" applyFont="1" applyAlignment="1">
      <alignment horizontal="right"/>
    </xf>
    <xf numFmtId="0" fontId="69" fillId="0" borderId="0" xfId="10" applyFont="1"/>
    <xf numFmtId="0" fontId="70" fillId="0" borderId="0" xfId="10" applyFont="1" applyAlignment="1">
      <alignment horizontal="center"/>
    </xf>
    <xf numFmtId="0" fontId="30" fillId="0" borderId="0" xfId="10" applyFont="1"/>
    <xf numFmtId="0" fontId="30" fillId="0" borderId="2" xfId="10" applyFont="1" applyBorder="1"/>
    <xf numFmtId="0" fontId="27" fillId="0" borderId="1" xfId="10" applyFont="1" applyBorder="1" applyAlignment="1">
      <alignment horizontal="center" wrapText="1"/>
    </xf>
    <xf numFmtId="3" fontId="30" fillId="0" borderId="2" xfId="10" applyNumberFormat="1" applyFont="1" applyBorder="1"/>
    <xf numFmtId="0" fontId="30" fillId="0" borderId="1" xfId="10" applyFont="1" applyFill="1" applyBorder="1" applyAlignment="1">
      <alignment wrapText="1"/>
    </xf>
    <xf numFmtId="3" fontId="27" fillId="0" borderId="1" xfId="10" applyNumberFormat="1" applyFont="1" applyFill="1" applyBorder="1" applyAlignment="1">
      <alignment wrapText="1"/>
    </xf>
    <xf numFmtId="3" fontId="30" fillId="0" borderId="0" xfId="10" applyNumberFormat="1" applyFont="1"/>
    <xf numFmtId="3" fontId="27" fillId="0" borderId="1" xfId="10" applyNumberFormat="1" applyFont="1" applyFill="1" applyBorder="1" applyAlignment="1">
      <alignment horizontal="center" wrapText="1"/>
    </xf>
    <xf numFmtId="0" fontId="30" fillId="0" borderId="1" xfId="10" applyFont="1" applyFill="1" applyBorder="1" applyAlignment="1">
      <alignment horizontal="left" wrapText="1"/>
    </xf>
    <xf numFmtId="0" fontId="27" fillId="0" borderId="1" xfId="10" applyFont="1" applyFill="1" applyBorder="1" applyAlignment="1">
      <alignment wrapText="1"/>
    </xf>
    <xf numFmtId="3" fontId="30" fillId="0" borderId="23" xfId="10" applyNumberFormat="1" applyFont="1" applyBorder="1"/>
    <xf numFmtId="3" fontId="27" fillId="0" borderId="21" xfId="10" applyNumberFormat="1" applyFont="1" applyFill="1" applyBorder="1" applyAlignment="1">
      <alignment wrapText="1"/>
    </xf>
    <xf numFmtId="3" fontId="27" fillId="0" borderId="0" xfId="10" applyNumberFormat="1" applyFont="1" applyFill="1" applyBorder="1" applyAlignment="1">
      <alignment wrapText="1"/>
    </xf>
    <xf numFmtId="168" fontId="30" fillId="0" borderId="0" xfId="10" applyNumberFormat="1" applyFont="1" applyFill="1" applyBorder="1"/>
    <xf numFmtId="168" fontId="30" fillId="0" borderId="0" xfId="10" applyNumberFormat="1" applyFont="1" applyFill="1"/>
    <xf numFmtId="3" fontId="74" fillId="0" borderId="0" xfId="10" applyNumberFormat="1" applyFont="1" applyFill="1" applyBorder="1" applyAlignment="1">
      <alignment wrapText="1"/>
    </xf>
    <xf numFmtId="3" fontId="30" fillId="0" borderId="0" xfId="10" applyNumberFormat="1" applyFont="1" applyFill="1" applyBorder="1" applyAlignment="1">
      <alignment wrapText="1"/>
    </xf>
    <xf numFmtId="3" fontId="30" fillId="0" borderId="0" xfId="10" applyNumberFormat="1" applyFont="1" applyFill="1" applyBorder="1"/>
    <xf numFmtId="3" fontId="30" fillId="0" borderId="0" xfId="10" applyNumberFormat="1" applyFont="1" applyFill="1"/>
    <xf numFmtId="3" fontId="27" fillId="0" borderId="0" xfId="10" applyNumberFormat="1" applyFont="1" applyFill="1" applyBorder="1"/>
    <xf numFmtId="0" fontId="30" fillId="0" borderId="0" xfId="10" applyFont="1" applyFill="1" applyAlignment="1">
      <alignment wrapText="1"/>
    </xf>
    <xf numFmtId="0" fontId="30" fillId="0" borderId="0" xfId="10" applyFont="1" applyAlignment="1">
      <alignment wrapText="1"/>
    </xf>
    <xf numFmtId="0" fontId="30" fillId="0" borderId="19" xfId="10" applyFont="1" applyBorder="1" applyAlignment="1">
      <alignment horizontal="center"/>
    </xf>
    <xf numFmtId="0" fontId="30" fillId="0" borderId="9" xfId="10" applyFont="1" applyBorder="1"/>
    <xf numFmtId="0" fontId="27" fillId="0" borderId="9" xfId="10" applyFont="1" applyBorder="1" applyAlignment="1">
      <alignment horizontal="center"/>
    </xf>
    <xf numFmtId="0" fontId="27" fillId="0" borderId="9" xfId="10" applyFont="1" applyFill="1" applyBorder="1" applyAlignment="1">
      <alignment horizontal="center"/>
    </xf>
    <xf numFmtId="0" fontId="27" fillId="0" borderId="20" xfId="10" applyFont="1" applyBorder="1" applyAlignment="1">
      <alignment horizontal="center"/>
    </xf>
    <xf numFmtId="0" fontId="27" fillId="0" borderId="0" xfId="10" applyFont="1" applyAlignment="1">
      <alignment horizontal="center"/>
    </xf>
    <xf numFmtId="0" fontId="75" fillId="0" borderId="2" xfId="10" applyFont="1" applyBorder="1" applyAlignment="1">
      <alignment horizontal="center"/>
    </xf>
    <xf numFmtId="0" fontId="76" fillId="0" borderId="1" xfId="10" applyFont="1" applyBorder="1"/>
    <xf numFmtId="0" fontId="27" fillId="0" borderId="1" xfId="10" applyFont="1" applyBorder="1" applyAlignment="1">
      <alignment horizontal="center"/>
    </xf>
    <xf numFmtId="0" fontId="30" fillId="0" borderId="16" xfId="10" applyFont="1" applyBorder="1" applyAlignment="1">
      <alignment horizontal="center"/>
    </xf>
    <xf numFmtId="0" fontId="30" fillId="0" borderId="0" xfId="10" applyFont="1" applyAlignment="1">
      <alignment horizontal="center"/>
    </xf>
    <xf numFmtId="0" fontId="30" fillId="0" borderId="2" xfId="10" applyFont="1" applyBorder="1" applyAlignment="1">
      <alignment horizontal="center"/>
    </xf>
    <xf numFmtId="3" fontId="30" fillId="0" borderId="1" xfId="10" applyNumberFormat="1" applyFont="1" applyBorder="1" applyAlignment="1">
      <alignment horizontal="right"/>
    </xf>
    <xf numFmtId="3" fontId="30" fillId="0" borderId="16" xfId="10" applyNumberFormat="1" applyFont="1" applyBorder="1" applyAlignment="1">
      <alignment horizontal="right"/>
    </xf>
    <xf numFmtId="3" fontId="30" fillId="0" borderId="0" xfId="10" applyNumberFormat="1" applyFont="1" applyAlignment="1">
      <alignment horizontal="right"/>
    </xf>
    <xf numFmtId="0" fontId="30" fillId="0" borderId="1" xfId="10" applyFont="1" applyBorder="1"/>
    <xf numFmtId="0" fontId="30" fillId="0" borderId="1" xfId="10" applyFont="1" applyBorder="1" applyAlignment="1">
      <alignment wrapText="1"/>
    </xf>
    <xf numFmtId="0" fontId="30" fillId="0" borderId="23" xfId="10" applyFont="1" applyBorder="1" applyAlignment="1">
      <alignment horizontal="center"/>
    </xf>
    <xf numFmtId="0" fontId="27" fillId="0" borderId="21" xfId="10" applyFont="1" applyBorder="1"/>
    <xf numFmtId="3" fontId="27" fillId="0" borderId="21" xfId="10" applyNumberFormat="1" applyFont="1" applyBorder="1" applyAlignment="1">
      <alignment horizontal="right"/>
    </xf>
    <xf numFmtId="3" fontId="27" fillId="0" borderId="22" xfId="10" applyNumberFormat="1" applyFont="1" applyBorder="1" applyAlignment="1">
      <alignment horizontal="right"/>
    </xf>
    <xf numFmtId="0" fontId="27" fillId="0" borderId="0" xfId="10" applyFont="1"/>
    <xf numFmtId="3" fontId="27" fillId="0" borderId="0" xfId="10" applyNumberFormat="1" applyFont="1" applyAlignment="1">
      <alignment horizontal="right"/>
    </xf>
    <xf numFmtId="0" fontId="30" fillId="0" borderId="0" xfId="10" applyFont="1" applyBorder="1"/>
    <xf numFmtId="3" fontId="30" fillId="0" borderId="0" xfId="10" applyNumberFormat="1" applyFont="1" applyBorder="1" applyAlignment="1">
      <alignment horizontal="right"/>
    </xf>
    <xf numFmtId="3" fontId="27" fillId="0" borderId="0" xfId="10" applyNumberFormat="1" applyFont="1" applyBorder="1" applyAlignment="1">
      <alignment horizontal="right"/>
    </xf>
    <xf numFmtId="0" fontId="61" fillId="0" borderId="0" xfId="10" applyFont="1"/>
    <xf numFmtId="0" fontId="15" fillId="0" borderId="0" xfId="10" applyFont="1" applyBorder="1" applyAlignment="1">
      <alignment horizontal="right"/>
    </xf>
    <xf numFmtId="3" fontId="57" fillId="0" borderId="0" xfId="10" applyNumberFormat="1" applyFont="1"/>
    <xf numFmtId="3" fontId="29" fillId="0" borderId="0" xfId="10" applyNumberFormat="1" applyFont="1" applyBorder="1"/>
    <xf numFmtId="0" fontId="15" fillId="0" borderId="0" xfId="10" applyFont="1" applyBorder="1"/>
    <xf numFmtId="0" fontId="29" fillId="0" borderId="0" xfId="10" applyFont="1" applyBorder="1"/>
    <xf numFmtId="0" fontId="29" fillId="0" borderId="0" xfId="10" applyFont="1"/>
    <xf numFmtId="0" fontId="52" fillId="0" borderId="0" xfId="10" applyFont="1"/>
    <xf numFmtId="0" fontId="50" fillId="0" borderId="19" xfId="10" applyNumberFormat="1" applyFont="1" applyBorder="1" applyAlignment="1">
      <alignment horizontal="centerContinuous"/>
    </xf>
    <xf numFmtId="0" fontId="50" fillId="0" borderId="9" xfId="10" applyNumberFormat="1" applyFont="1" applyBorder="1" applyAlignment="1">
      <alignment horizontal="center"/>
    </xf>
    <xf numFmtId="3" fontId="50" fillId="0" borderId="20" xfId="10" applyNumberFormat="1" applyFont="1" applyBorder="1" applyAlignment="1">
      <alignment horizontal="centerContinuous"/>
    </xf>
    <xf numFmtId="0" fontId="69" fillId="0" borderId="2" xfId="10" applyNumberFormat="1" applyFont="1" applyBorder="1"/>
    <xf numFmtId="0" fontId="50" fillId="0" borderId="1" xfId="10" applyNumberFormat="1" applyFont="1" applyBorder="1"/>
    <xf numFmtId="3" fontId="50" fillId="0" borderId="16" xfId="10" applyNumberFormat="1" applyFont="1" applyBorder="1"/>
    <xf numFmtId="0" fontId="50" fillId="0" borderId="2" xfId="10" applyFont="1" applyBorder="1" applyAlignment="1">
      <alignment wrapText="1"/>
    </xf>
    <xf numFmtId="3" fontId="71" fillId="0" borderId="0" xfId="10" applyNumberFormat="1" applyFont="1" applyBorder="1"/>
    <xf numFmtId="0" fontId="69" fillId="0" borderId="2" xfId="10" applyNumberFormat="1" applyFont="1" applyBorder="1" applyAlignment="1">
      <alignment horizontal="right"/>
    </xf>
    <xf numFmtId="3" fontId="77" fillId="0" borderId="0" xfId="10" applyNumberFormat="1" applyFont="1" applyBorder="1"/>
    <xf numFmtId="3" fontId="50" fillId="0" borderId="0" xfId="10" applyNumberFormat="1" applyFont="1" applyBorder="1" applyAlignment="1">
      <alignment horizontal="right"/>
    </xf>
    <xf numFmtId="0" fontId="71" fillId="0" borderId="2" xfId="10" applyFont="1" applyBorder="1"/>
    <xf numFmtId="0" fontId="69" fillId="0" borderId="2" xfId="10" applyFont="1" applyBorder="1" applyAlignment="1">
      <alignment horizontal="right"/>
    </xf>
    <xf numFmtId="0" fontId="71" fillId="0" borderId="23" xfId="10" applyFont="1" applyBorder="1"/>
    <xf numFmtId="0" fontId="50" fillId="0" borderId="0" xfId="10" applyNumberFormat="1" applyFont="1" applyBorder="1"/>
    <xf numFmtId="168" fontId="50" fillId="0" borderId="0" xfId="10" applyNumberFormat="1" applyFont="1" applyBorder="1"/>
    <xf numFmtId="170" fontId="50" fillId="0" borderId="0" xfId="10" applyNumberFormat="1" applyFont="1" applyBorder="1"/>
    <xf numFmtId="0" fontId="69" fillId="0" borderId="0" xfId="10" applyFont="1" applyBorder="1"/>
    <xf numFmtId="0" fontId="50" fillId="0" borderId="0" xfId="10" applyNumberFormat="1" applyFont="1" applyBorder="1" applyAlignment="1">
      <alignment horizontal="left"/>
    </xf>
    <xf numFmtId="0" fontId="78" fillId="0" borderId="0" xfId="10" applyNumberFormat="1" applyFont="1" applyBorder="1"/>
    <xf numFmtId="0" fontId="50" fillId="0" borderId="0" xfId="10" applyNumberFormat="1" applyFont="1" applyFill="1" applyBorder="1"/>
    <xf numFmtId="170" fontId="50" fillId="0" borderId="0" xfId="10" applyNumberFormat="1" applyFont="1" applyBorder="1" applyAlignment="1">
      <alignment horizontal="left"/>
    </xf>
    <xf numFmtId="0" fontId="69" fillId="0" borderId="0" xfId="10" applyFont="1" applyBorder="1" applyAlignment="1">
      <alignment horizontal="left"/>
    </xf>
    <xf numFmtId="0" fontId="50" fillId="0" borderId="0" xfId="10" applyFont="1" applyBorder="1" applyAlignment="1">
      <alignment horizontal="left"/>
    </xf>
    <xf numFmtId="0" fontId="50" fillId="0" borderId="0" xfId="10" applyFont="1" applyBorder="1"/>
    <xf numFmtId="0" fontId="50" fillId="0" borderId="0" xfId="10" applyFont="1" applyAlignment="1">
      <alignment horizontal="left"/>
    </xf>
    <xf numFmtId="0" fontId="29" fillId="0" borderId="19" xfId="10" applyFont="1" applyBorder="1" applyAlignment="1">
      <alignment horizontal="center"/>
    </xf>
    <xf numFmtId="0" fontId="29" fillId="0" borderId="9" xfId="10" applyFont="1" applyBorder="1" applyAlignment="1">
      <alignment horizontal="center" wrapText="1"/>
    </xf>
    <xf numFmtId="0" fontId="29" fillId="0" borderId="9" xfId="10" applyFont="1" applyBorder="1" applyAlignment="1">
      <alignment horizontal="center"/>
    </xf>
    <xf numFmtId="0" fontId="29" fillId="0" borderId="20" xfId="10" applyFont="1" applyBorder="1" applyAlignment="1">
      <alignment horizontal="center"/>
    </xf>
    <xf numFmtId="0" fontId="15" fillId="0" borderId="0" xfId="10" applyFont="1" applyAlignment="1">
      <alignment horizontal="center"/>
    </xf>
    <xf numFmtId="0" fontId="15" fillId="0" borderId="2" xfId="10" applyFont="1" applyFill="1" applyBorder="1" applyAlignment="1">
      <alignment horizontal="center"/>
    </xf>
    <xf numFmtId="3" fontId="29" fillId="0" borderId="1" xfId="10" applyNumberFormat="1" applyFont="1" applyBorder="1"/>
    <xf numFmtId="3" fontId="15" fillId="0" borderId="16" xfId="10" applyNumberFormat="1" applyFont="1" applyBorder="1" applyAlignment="1">
      <alignment horizontal="right"/>
    </xf>
    <xf numFmtId="0" fontId="15" fillId="0" borderId="23" xfId="10" applyFont="1" applyBorder="1"/>
    <xf numFmtId="0" fontId="29" fillId="0" borderId="21" xfId="10" applyFont="1" applyFill="1" applyBorder="1" applyAlignment="1">
      <alignment horizontal="left" wrapText="1"/>
    </xf>
    <xf numFmtId="0" fontId="31" fillId="0" borderId="0" xfId="10"/>
    <xf numFmtId="0" fontId="21" fillId="0" borderId="2" xfId="17" applyFont="1" applyBorder="1" applyAlignment="1">
      <alignment horizontal="center" wrapText="1"/>
    </xf>
    <xf numFmtId="3" fontId="28" fillId="0" borderId="1" xfId="17" applyNumberFormat="1" applyFont="1" applyBorder="1" applyAlignment="1">
      <alignment horizontal="left" wrapText="1"/>
    </xf>
    <xf numFmtId="0" fontId="21" fillId="0" borderId="2" xfId="17" applyFont="1" applyBorder="1" applyAlignment="1">
      <alignment horizontal="center"/>
    </xf>
    <xf numFmtId="3" fontId="30" fillId="0" borderId="1" xfId="17" applyNumberFormat="1" applyFont="1" applyFill="1" applyBorder="1" applyAlignment="1">
      <alignment horizontal="left"/>
    </xf>
    <xf numFmtId="3" fontId="30" fillId="0" borderId="1" xfId="17" applyNumberFormat="1" applyFont="1" applyFill="1" applyBorder="1" applyAlignment="1">
      <alignment horizontal="right"/>
    </xf>
    <xf numFmtId="3" fontId="30" fillId="0" borderId="1" xfId="10" applyNumberFormat="1" applyFont="1" applyFill="1" applyBorder="1"/>
    <xf numFmtId="3" fontId="30" fillId="0" borderId="16" xfId="10" applyNumberFormat="1" applyFont="1" applyFill="1" applyBorder="1"/>
    <xf numFmtId="0" fontId="16" fillId="0" borderId="0" xfId="10" applyFont="1"/>
    <xf numFmtId="0" fontId="21" fillId="0" borderId="23" xfId="17" applyFont="1" applyBorder="1" applyAlignment="1">
      <alignment horizontal="center"/>
    </xf>
    <xf numFmtId="3" fontId="27" fillId="0" borderId="21" xfId="17" applyNumberFormat="1" applyFont="1" applyBorder="1"/>
    <xf numFmtId="3" fontId="27" fillId="0" borderId="21" xfId="17" applyNumberFormat="1" applyFont="1" applyBorder="1" applyAlignment="1">
      <alignment horizontal="right"/>
    </xf>
    <xf numFmtId="3" fontId="27" fillId="0" borderId="22" xfId="17" applyNumberFormat="1" applyFont="1" applyBorder="1" applyAlignment="1">
      <alignment horizontal="right"/>
    </xf>
    <xf numFmtId="0" fontId="79" fillId="0" borderId="0" xfId="10" applyFont="1"/>
    <xf numFmtId="168" fontId="21" fillId="0" borderId="19" xfId="10" applyNumberFormat="1" applyFont="1" applyBorder="1"/>
    <xf numFmtId="168" fontId="21" fillId="0" borderId="9" xfId="10" applyNumberFormat="1" applyFont="1" applyBorder="1" applyAlignment="1"/>
    <xf numFmtId="168" fontId="21" fillId="0" borderId="9" xfId="10" applyNumberFormat="1" applyFont="1" applyBorder="1" applyAlignment="1">
      <alignment horizontal="center" vertical="center" wrapText="1"/>
    </xf>
    <xf numFmtId="168" fontId="21" fillId="0" borderId="20" xfId="10" applyNumberFormat="1" applyFont="1" applyBorder="1" applyAlignment="1">
      <alignment horizontal="center" vertical="center" wrapText="1"/>
    </xf>
    <xf numFmtId="0" fontId="21" fillId="0" borderId="0" xfId="10" applyFont="1"/>
    <xf numFmtId="168" fontId="28" fillId="0" borderId="2" xfId="10" applyNumberFormat="1" applyFont="1" applyBorder="1" applyAlignment="1">
      <alignment horizontal="centerContinuous"/>
    </xf>
    <xf numFmtId="168" fontId="21" fillId="0" borderId="1" xfId="10" applyNumberFormat="1" applyFont="1" applyBorder="1" applyAlignment="1">
      <alignment horizontal="centerContinuous"/>
    </xf>
    <xf numFmtId="168" fontId="21" fillId="0" borderId="1" xfId="10" applyNumberFormat="1" applyFont="1" applyBorder="1" applyAlignment="1">
      <alignment horizontal="right"/>
    </xf>
    <xf numFmtId="168" fontId="21" fillId="0" borderId="16" xfId="10" applyNumberFormat="1" applyFont="1" applyBorder="1"/>
    <xf numFmtId="3" fontId="21" fillId="0" borderId="0" xfId="10" applyNumberFormat="1" applyFont="1" applyBorder="1" applyAlignment="1">
      <alignment horizontal="right"/>
    </xf>
    <xf numFmtId="168" fontId="21" fillId="0" borderId="2" xfId="10" applyNumberFormat="1" applyFont="1" applyBorder="1" applyAlignment="1">
      <alignment horizontal="center"/>
    </xf>
    <xf numFmtId="168" fontId="50" fillId="0" borderId="1" xfId="10" applyNumberFormat="1" applyFont="1" applyBorder="1" applyAlignment="1">
      <alignment vertical="center" wrapText="1"/>
    </xf>
    <xf numFmtId="168" fontId="50" fillId="0" borderId="1" xfId="10" applyNumberFormat="1" applyFont="1" applyBorder="1" applyAlignment="1">
      <alignment wrapText="1"/>
    </xf>
    <xf numFmtId="3" fontId="21" fillId="0" borderId="0" xfId="10" applyNumberFormat="1" applyFont="1" applyAlignment="1">
      <alignment horizontal="right"/>
    </xf>
    <xf numFmtId="168" fontId="28" fillId="0" borderId="1" xfId="10" applyNumberFormat="1" applyFont="1" applyBorder="1" applyAlignment="1"/>
    <xf numFmtId="168" fontId="28" fillId="0" borderId="1" xfId="10" applyNumberFormat="1" applyFont="1" applyBorder="1"/>
    <xf numFmtId="3" fontId="28" fillId="0" borderId="0" xfId="10" applyNumberFormat="1" applyFont="1" applyAlignment="1">
      <alignment horizontal="right"/>
    </xf>
    <xf numFmtId="168" fontId="21" fillId="0" borderId="1" xfId="10" applyNumberFormat="1" applyFont="1" applyBorder="1" applyAlignment="1"/>
    <xf numFmtId="168" fontId="21" fillId="0" borderId="1" xfId="10" applyNumberFormat="1" applyFont="1" applyBorder="1"/>
    <xf numFmtId="168" fontId="50" fillId="0" borderId="1" xfId="10" applyNumberFormat="1" applyFont="1" applyBorder="1" applyAlignment="1"/>
    <xf numFmtId="168" fontId="50" fillId="0" borderId="1" xfId="10" applyNumberFormat="1" applyFont="1" applyFill="1" applyBorder="1" applyAlignment="1">
      <alignment horizontal="left" vertical="center" wrapText="1"/>
    </xf>
    <xf numFmtId="168" fontId="71" fillId="0" borderId="1" xfId="10" applyNumberFormat="1" applyFont="1" applyBorder="1" applyAlignment="1"/>
    <xf numFmtId="168" fontId="50" fillId="0" borderId="1" xfId="10" applyNumberFormat="1" applyFont="1" applyFill="1" applyBorder="1" applyAlignment="1"/>
    <xf numFmtId="168" fontId="50" fillId="0" borderId="1" xfId="10" applyNumberFormat="1" applyFont="1" applyBorder="1" applyAlignment="1">
      <alignment horizontal="left" vertical="center" wrapText="1"/>
    </xf>
    <xf numFmtId="168" fontId="21" fillId="0" borderId="23" xfId="10" applyNumberFormat="1" applyFont="1" applyBorder="1" applyAlignment="1">
      <alignment horizontal="center"/>
    </xf>
    <xf numFmtId="168" fontId="28" fillId="0" borderId="21" xfId="10" applyNumberFormat="1" applyFont="1" applyBorder="1" applyAlignment="1"/>
    <xf numFmtId="168" fontId="28" fillId="0" borderId="21" xfId="10" applyNumberFormat="1" applyFont="1" applyBorder="1"/>
    <xf numFmtId="168" fontId="21" fillId="0" borderId="0" xfId="10" applyNumberFormat="1" applyFont="1"/>
    <xf numFmtId="168" fontId="21" fillId="0" borderId="0" xfId="10" applyNumberFormat="1" applyFont="1" applyAlignment="1"/>
    <xf numFmtId="3" fontId="50" fillId="0" borderId="0" xfId="10" applyNumberFormat="1" applyFont="1" applyFill="1" applyAlignment="1">
      <alignment horizontal="left" vertical="center" wrapText="1"/>
    </xf>
    <xf numFmtId="3" fontId="21" fillId="0" borderId="0" xfId="10" applyNumberFormat="1" applyFont="1"/>
    <xf numFmtId="0" fontId="50" fillId="0" borderId="0" xfId="10" applyFont="1" applyFill="1" applyAlignment="1">
      <alignment horizontal="left" vertical="center" wrapText="1"/>
    </xf>
    <xf numFmtId="0" fontId="69" fillId="0" borderId="0" xfId="10" applyFont="1" applyFill="1" applyBorder="1" applyAlignment="1"/>
    <xf numFmtId="3" fontId="69" fillId="0" borderId="0" xfId="10" applyNumberFormat="1" applyFont="1" applyFill="1" applyAlignment="1">
      <alignment horizontal="left" vertical="center" wrapText="1"/>
    </xf>
    <xf numFmtId="0" fontId="50" fillId="0" borderId="0" xfId="10" applyFont="1" applyBorder="1" applyAlignment="1">
      <alignment wrapText="1"/>
    </xf>
    <xf numFmtId="0" fontId="50" fillId="0" borderId="0" xfId="10" applyFont="1" applyAlignment="1">
      <alignment horizontal="left" vertical="center" wrapText="1"/>
    </xf>
    <xf numFmtId="0" fontId="21" fillId="0" borderId="0" xfId="10" applyFont="1" applyAlignment="1"/>
    <xf numFmtId="0" fontId="51" fillId="2" borderId="30" xfId="10" applyFont="1" applyFill="1" applyBorder="1" applyAlignment="1">
      <alignment wrapText="1"/>
    </xf>
    <xf numFmtId="0" fontId="9" fillId="0" borderId="16" xfId="10" applyFont="1" applyBorder="1" applyAlignment="1">
      <alignment horizontal="right" vertical="center" wrapText="1"/>
    </xf>
    <xf numFmtId="0" fontId="50" fillId="2" borderId="0" xfId="10" applyFont="1" applyFill="1" applyBorder="1"/>
    <xf numFmtId="0" fontId="31" fillId="0" borderId="0" xfId="10" applyBorder="1"/>
    <xf numFmtId="3" fontId="15" fillId="0" borderId="0" xfId="10" applyNumberFormat="1" applyFont="1" applyAlignment="1">
      <alignment wrapText="1"/>
    </xf>
    <xf numFmtId="3" fontId="53" fillId="0" borderId="0" xfId="10" applyNumberFormat="1" applyFont="1" applyFill="1"/>
    <xf numFmtId="3" fontId="15" fillId="0" borderId="0" xfId="10" applyNumberFormat="1" applyFont="1" applyFill="1" applyAlignment="1">
      <alignment wrapText="1"/>
    </xf>
    <xf numFmtId="3" fontId="29" fillId="0" borderId="21" xfId="10" applyNumberFormat="1" applyFont="1" applyFill="1" applyBorder="1" applyAlignment="1">
      <alignment wrapText="1"/>
    </xf>
    <xf numFmtId="3" fontId="15" fillId="0" borderId="23" xfId="10" applyNumberFormat="1" applyFont="1" applyFill="1" applyBorder="1"/>
    <xf numFmtId="3" fontId="15" fillId="0" borderId="2" xfId="10" applyNumberFormat="1" applyFont="1" applyFill="1" applyBorder="1"/>
    <xf numFmtId="3" fontId="85" fillId="0" borderId="16" xfId="10" applyNumberFormat="1" applyFont="1" applyFill="1" applyBorder="1" applyAlignment="1">
      <alignment horizontal="center" vertical="center"/>
    </xf>
    <xf numFmtId="3" fontId="85" fillId="0" borderId="1" xfId="10" applyNumberFormat="1" applyFont="1" applyFill="1" applyBorder="1" applyAlignment="1">
      <alignment horizontal="center" vertical="center" wrapText="1"/>
    </xf>
    <xf numFmtId="3" fontId="29" fillId="0" borderId="1" xfId="10" applyNumberFormat="1" applyFont="1" applyFill="1" applyBorder="1" applyAlignment="1">
      <alignment horizontal="center" vertical="center" wrapText="1"/>
    </xf>
    <xf numFmtId="3" fontId="20" fillId="0" borderId="1" xfId="5" applyNumberFormat="1" applyFont="1" applyFill="1" applyBorder="1" applyAlignment="1">
      <alignment horizontal="right" vertical="center" wrapText="1"/>
    </xf>
    <xf numFmtId="3" fontId="15" fillId="0" borderId="1" xfId="15" applyNumberFormat="1" applyFont="1" applyFill="1" applyBorder="1" applyAlignment="1">
      <alignment horizontal="left" wrapText="1"/>
    </xf>
    <xf numFmtId="3" fontId="15" fillId="0" borderId="16" xfId="15" applyNumberFormat="1" applyFont="1" applyFill="1" applyBorder="1" applyAlignment="1">
      <alignment horizontal="left" wrapText="1"/>
    </xf>
    <xf numFmtId="3" fontId="13" fillId="0" borderId="21" xfId="10" applyNumberFormat="1" applyFont="1" applyBorder="1" applyAlignment="1">
      <alignment horizontal="right" vertical="center"/>
    </xf>
    <xf numFmtId="3" fontId="13" fillId="0" borderId="22" xfId="10" applyNumberFormat="1" applyFont="1" applyBorder="1" applyAlignment="1">
      <alignment horizontal="right" vertical="center"/>
    </xf>
    <xf numFmtId="0" fontId="9" fillId="0" borderId="1" xfId="10" applyFont="1" applyBorder="1" applyAlignment="1">
      <alignment horizontal="right" vertical="center"/>
    </xf>
    <xf numFmtId="0" fontId="9" fillId="0" borderId="9" xfId="10" applyFont="1" applyBorder="1" applyAlignment="1">
      <alignment horizontal="center" vertical="center"/>
    </xf>
    <xf numFmtId="0" fontId="9" fillId="0" borderId="20" xfId="10" applyFont="1" applyBorder="1" applyAlignment="1">
      <alignment horizontal="center" vertical="center"/>
    </xf>
    <xf numFmtId="0" fontId="13" fillId="0" borderId="1" xfId="10" applyFont="1" applyBorder="1" applyAlignment="1">
      <alignment horizontal="center" vertical="center"/>
    </xf>
    <xf numFmtId="0" fontId="13" fillId="0" borderId="16" xfId="10" applyFont="1" applyBorder="1" applyAlignment="1">
      <alignment horizontal="center" vertical="center" wrapText="1"/>
    </xf>
    <xf numFmtId="3" fontId="29" fillId="0" borderId="3" xfId="15" applyNumberFormat="1" applyFont="1" applyFill="1" applyBorder="1" applyAlignment="1">
      <alignment horizontal="center"/>
    </xf>
    <xf numFmtId="3" fontId="29" fillId="0" borderId="36" xfId="14" applyNumberFormat="1" applyFont="1" applyFill="1" applyBorder="1" applyAlignment="1">
      <alignment horizontal="center" wrapText="1"/>
    </xf>
    <xf numFmtId="0" fontId="29" fillId="0" borderId="37" xfId="10" applyFont="1" applyFill="1" applyBorder="1" applyAlignment="1">
      <alignment horizontal="center"/>
    </xf>
    <xf numFmtId="3" fontId="15" fillId="0" borderId="38" xfId="10" applyNumberFormat="1" applyFont="1" applyFill="1" applyBorder="1" applyAlignment="1" applyProtection="1">
      <alignment horizontal="center" wrapText="1"/>
      <protection locked="0"/>
    </xf>
    <xf numFmtId="0" fontId="29" fillId="0" borderId="21" xfId="10" applyFont="1" applyFill="1" applyBorder="1" applyAlignment="1">
      <alignment wrapText="1"/>
    </xf>
    <xf numFmtId="0" fontId="29" fillId="0" borderId="3" xfId="14" applyFont="1" applyFill="1" applyBorder="1" applyAlignment="1">
      <alignment horizontal="center" wrapText="1"/>
    </xf>
    <xf numFmtId="0" fontId="29" fillId="0" borderId="2" xfId="14" applyFont="1" applyFill="1" applyBorder="1" applyAlignment="1">
      <alignment horizontal="center"/>
    </xf>
    <xf numFmtId="0" fontId="29" fillId="0" borderId="1" xfId="10" applyFont="1" applyFill="1" applyBorder="1" applyAlignment="1">
      <alignment horizontal="left" wrapText="1"/>
    </xf>
    <xf numFmtId="0" fontId="28" fillId="0" borderId="1" xfId="10" applyFont="1" applyFill="1" applyBorder="1" applyAlignment="1">
      <alignment horizontal="center" wrapText="1"/>
    </xf>
    <xf numFmtId="0" fontId="28" fillId="0" borderId="9" xfId="14" applyFont="1" applyFill="1" applyBorder="1" applyAlignment="1">
      <alignment horizontal="center" wrapText="1"/>
    </xf>
    <xf numFmtId="3" fontId="15" fillId="0" borderId="1" xfId="15" applyNumberFormat="1" applyFont="1" applyFill="1" applyBorder="1" applyAlignment="1">
      <alignment horizontal="center" wrapText="1"/>
    </xf>
    <xf numFmtId="3" fontId="15" fillId="0" borderId="16" xfId="15" applyNumberFormat="1" applyFont="1" applyFill="1" applyBorder="1" applyAlignment="1">
      <alignment horizontal="center" wrapText="1"/>
    </xf>
    <xf numFmtId="3" fontId="15" fillId="0" borderId="1" xfId="10" applyNumberFormat="1" applyFont="1" applyBorder="1" applyAlignment="1">
      <alignment horizontal="center" wrapText="1"/>
    </xf>
    <xf numFmtId="3" fontId="15" fillId="0" borderId="38" xfId="10" applyNumberFormat="1" applyFont="1" applyFill="1" applyBorder="1" applyAlignment="1" applyProtection="1">
      <alignment horizontal="center" vertical="center" wrapText="1"/>
      <protection locked="0"/>
    </xf>
    <xf numFmtId="3" fontId="15" fillId="0" borderId="16" xfId="10" applyNumberFormat="1" applyFont="1" applyBorder="1" applyAlignment="1">
      <alignment horizontal="center" wrapText="1"/>
    </xf>
    <xf numFmtId="3" fontId="29" fillId="0" borderId="1" xfId="15" applyNumberFormat="1" applyFont="1" applyFill="1" applyBorder="1" applyAlignment="1">
      <alignment horizontal="center" wrapText="1"/>
    </xf>
    <xf numFmtId="3" fontId="29" fillId="0" borderId="21" xfId="10" applyNumberFormat="1" applyFont="1" applyFill="1" applyBorder="1" applyAlignment="1">
      <alignment horizontal="center" wrapText="1"/>
    </xf>
    <xf numFmtId="0" fontId="69" fillId="0" borderId="5" xfId="10" applyFont="1" applyFill="1" applyBorder="1" applyAlignment="1">
      <alignment wrapText="1"/>
    </xf>
    <xf numFmtId="3" fontId="69" fillId="0" borderId="5" xfId="10" applyNumberFormat="1" applyFont="1" applyFill="1" applyBorder="1"/>
    <xf numFmtId="3" fontId="69" fillId="0" borderId="17" xfId="10" applyNumberFormat="1" applyFont="1" applyFill="1" applyBorder="1"/>
    <xf numFmtId="3" fontId="69" fillId="0" borderId="22" xfId="10" applyNumberFormat="1" applyFont="1" applyFill="1" applyBorder="1"/>
    <xf numFmtId="168" fontId="29" fillId="0" borderId="1" xfId="10" applyNumberFormat="1" applyFont="1" applyBorder="1" applyAlignment="1">
      <alignment horizontal="centerContinuous"/>
    </xf>
    <xf numFmtId="168" fontId="15" fillId="0" borderId="1" xfId="10" applyNumberFormat="1" applyFont="1" applyBorder="1"/>
    <xf numFmtId="168" fontId="15" fillId="0" borderId="16" xfId="10" applyNumberFormat="1" applyFont="1" applyBorder="1"/>
    <xf numFmtId="3" fontId="15" fillId="0" borderId="1" xfId="10" applyNumberFormat="1" applyFont="1" applyFill="1" applyBorder="1" applyAlignment="1"/>
    <xf numFmtId="0" fontId="30" fillId="0" borderId="19" xfId="10" applyFont="1" applyBorder="1" applyAlignment="1">
      <alignment horizontal="right" wrapText="1"/>
    </xf>
    <xf numFmtId="169" fontId="29" fillId="0" borderId="3" xfId="10" applyNumberFormat="1" applyFont="1" applyBorder="1" applyAlignment="1">
      <alignment horizontal="center"/>
    </xf>
    <xf numFmtId="169" fontId="29" fillId="0" borderId="37" xfId="10" applyNumberFormat="1" applyFont="1" applyBorder="1" applyAlignment="1">
      <alignment horizontal="center"/>
    </xf>
    <xf numFmtId="0" fontId="27" fillId="0" borderId="36" xfId="10" applyFont="1" applyBorder="1" applyAlignment="1">
      <alignment horizontal="center" wrapText="1"/>
    </xf>
    <xf numFmtId="0" fontId="27" fillId="0" borderId="3" xfId="10" applyFont="1" applyBorder="1" applyAlignment="1">
      <alignment horizontal="center" wrapText="1"/>
    </xf>
    <xf numFmtId="0" fontId="69" fillId="0" borderId="36" xfId="10" applyFont="1" applyFill="1" applyBorder="1" applyAlignment="1">
      <alignment horizontal="center"/>
    </xf>
    <xf numFmtId="0" fontId="69" fillId="0" borderId="3" xfId="10" applyFont="1" applyFill="1" applyBorder="1" applyAlignment="1">
      <alignment wrapText="1"/>
    </xf>
    <xf numFmtId="3" fontId="69" fillId="0" borderId="3" xfId="10" applyNumberFormat="1" applyFont="1" applyFill="1" applyBorder="1" applyAlignment="1">
      <alignment horizontal="right" wrapText="1"/>
    </xf>
    <xf numFmtId="0" fontId="69" fillId="0" borderId="37" xfId="10" applyFont="1" applyBorder="1" applyAlignment="1">
      <alignment horizontal="right" wrapText="1"/>
    </xf>
    <xf numFmtId="0" fontId="29" fillId="2" borderId="1" xfId="10" applyFont="1" applyFill="1" applyBorder="1" applyAlignment="1">
      <alignment horizontal="center"/>
    </xf>
    <xf numFmtId="0" fontId="61" fillId="0" borderId="1" xfId="10" applyFont="1" applyBorder="1" applyAlignment="1">
      <alignment horizontal="center"/>
    </xf>
    <xf numFmtId="0" fontId="62" fillId="0" borderId="1" xfId="10" applyFont="1" applyBorder="1"/>
    <xf numFmtId="3" fontId="27" fillId="0" borderId="1" xfId="10" applyNumberFormat="1" applyFont="1" applyBorder="1" applyAlignment="1">
      <alignment horizontal="center"/>
    </xf>
    <xf numFmtId="0" fontId="61" fillId="0" borderId="1" xfId="10" applyFont="1" applyFill="1" applyBorder="1" applyAlignment="1">
      <alignment horizontal="right" vertical="center"/>
    </xf>
    <xf numFmtId="3" fontId="30" fillId="0" borderId="1" xfId="10" applyNumberFormat="1" applyFont="1" applyBorder="1" applyAlignment="1">
      <alignment vertical="center"/>
    </xf>
    <xf numFmtId="0" fontId="30" fillId="0" borderId="1" xfId="10" applyFont="1" applyFill="1" applyBorder="1" applyAlignment="1">
      <alignment horizontal="center"/>
    </xf>
    <xf numFmtId="0" fontId="27" fillId="0" borderId="1" xfId="10" applyFont="1" applyFill="1" applyBorder="1"/>
    <xf numFmtId="3" fontId="27" fillId="0" borderId="1" xfId="10" applyNumberFormat="1" applyFont="1" applyFill="1" applyBorder="1" applyAlignment="1">
      <alignment horizontal="right"/>
    </xf>
    <xf numFmtId="0" fontId="29" fillId="2" borderId="8" xfId="10" applyFont="1" applyFill="1" applyBorder="1" applyAlignment="1">
      <alignment horizontal="center"/>
    </xf>
    <xf numFmtId="3" fontId="27" fillId="0" borderId="8" xfId="10" applyNumberFormat="1" applyFont="1" applyBorder="1" applyAlignment="1">
      <alignment horizontal="center"/>
    </xf>
    <xf numFmtId="0" fontId="31" fillId="0" borderId="0" xfId="10" applyFont="1" applyBorder="1"/>
    <xf numFmtId="167" fontId="29" fillId="0" borderId="36" xfId="16" applyNumberFormat="1" applyFont="1" applyBorder="1" applyAlignment="1">
      <alignment horizontal="right"/>
    </xf>
    <xf numFmtId="167" fontId="29" fillId="0" borderId="3" xfId="16" applyNumberFormat="1" applyFont="1" applyFill="1" applyBorder="1" applyAlignment="1">
      <alignment horizontal="left"/>
    </xf>
    <xf numFmtId="3" fontId="21" fillId="0" borderId="3" xfId="16" applyNumberFormat="1" applyFont="1" applyFill="1" applyBorder="1" applyAlignment="1">
      <alignment horizontal="center" wrapText="1"/>
    </xf>
    <xf numFmtId="0" fontId="21" fillId="0" borderId="37" xfId="10" applyFont="1" applyBorder="1" applyAlignment="1">
      <alignment wrapText="1"/>
    </xf>
    <xf numFmtId="3" fontId="15" fillId="0" borderId="2" xfId="10" applyNumberFormat="1" applyFont="1" applyBorder="1" applyAlignment="1">
      <alignment horizontal="right"/>
    </xf>
    <xf numFmtId="3" fontId="72" fillId="0" borderId="1" xfId="10" applyNumberFormat="1" applyFont="1" applyBorder="1"/>
    <xf numFmtId="3" fontId="85" fillId="0" borderId="16" xfId="10" applyNumberFormat="1" applyFont="1" applyBorder="1"/>
    <xf numFmtId="3" fontId="85" fillId="0" borderId="1" xfId="10" applyNumberFormat="1" applyFont="1" applyBorder="1"/>
    <xf numFmtId="3" fontId="72" fillId="0" borderId="21" xfId="10" applyNumberFormat="1" applyFont="1" applyBorder="1"/>
    <xf numFmtId="3" fontId="85" fillId="0" borderId="22" xfId="10" applyNumberFormat="1" applyFont="1" applyBorder="1"/>
    <xf numFmtId="168" fontId="72" fillId="0" borderId="0" xfId="10" applyNumberFormat="1" applyFont="1" applyBorder="1"/>
    <xf numFmtId="168" fontId="72" fillId="0" borderId="0" xfId="10" applyNumberFormat="1" applyFont="1" applyFill="1" applyBorder="1"/>
    <xf numFmtId="0" fontId="29" fillId="0" borderId="2" xfId="10" applyFont="1" applyBorder="1"/>
    <xf numFmtId="0" fontId="29" fillId="0" borderId="1" xfId="10" applyFont="1" applyFill="1" applyBorder="1" applyAlignment="1">
      <alignment horizontal="center" wrapText="1"/>
    </xf>
    <xf numFmtId="3" fontId="29" fillId="0" borderId="1" xfId="10" applyNumberFormat="1" applyFont="1" applyFill="1" applyBorder="1" applyAlignment="1">
      <alignment horizontal="right"/>
    </xf>
    <xf numFmtId="0" fontId="29" fillId="0" borderId="1" xfId="10" applyFont="1" applyFill="1" applyBorder="1" applyAlignment="1">
      <alignment horizontal="right"/>
    </xf>
    <xf numFmtId="0" fontId="29" fillId="0" borderId="16" xfId="10" applyFont="1" applyBorder="1" applyAlignment="1">
      <alignment horizontal="right"/>
    </xf>
    <xf numFmtId="0" fontId="29" fillId="2" borderId="1" xfId="10" applyFont="1" applyFill="1" applyBorder="1" applyAlignment="1">
      <alignment horizontal="center" wrapText="1"/>
    </xf>
    <xf numFmtId="0" fontId="13" fillId="0" borderId="1" xfId="10" applyFont="1" applyBorder="1" applyAlignment="1">
      <alignment horizontal="center"/>
    </xf>
    <xf numFmtId="0" fontId="13" fillId="0" borderId="16" xfId="10" applyFont="1" applyBorder="1" applyAlignment="1">
      <alignment horizontal="center" wrapText="1"/>
    </xf>
    <xf numFmtId="0" fontId="13" fillId="0" borderId="12" xfId="10" applyFont="1" applyBorder="1" applyAlignment="1">
      <alignment horizontal="center"/>
    </xf>
    <xf numFmtId="0" fontId="13" fillId="0" borderId="12" xfId="10" applyFont="1" applyBorder="1" applyAlignment="1">
      <alignment horizontal="center" vertical="center"/>
    </xf>
    <xf numFmtId="0" fontId="9" fillId="0" borderId="12" xfId="10" applyFont="1" applyBorder="1" applyAlignment="1">
      <alignment vertical="center"/>
    </xf>
    <xf numFmtId="0" fontId="13" fillId="0" borderId="40" xfId="10" applyFont="1" applyBorder="1" applyAlignment="1">
      <alignment vertical="center"/>
    </xf>
    <xf numFmtId="0" fontId="9" fillId="0" borderId="39" xfId="10" applyFont="1" applyBorder="1" applyAlignment="1">
      <alignment vertical="center"/>
    </xf>
    <xf numFmtId="3" fontId="72" fillId="0" borderId="1" xfId="18" applyNumberFormat="1" applyFont="1" applyBorder="1"/>
    <xf numFmtId="3" fontId="85" fillId="0" borderId="1" xfId="18" applyNumberFormat="1" applyFont="1" applyBorder="1"/>
    <xf numFmtId="0" fontId="81" fillId="0" borderId="1" xfId="18" applyFont="1" applyBorder="1" applyAlignment="1">
      <alignment horizontal="center"/>
    </xf>
    <xf numFmtId="3" fontId="81" fillId="0" borderId="1" xfId="18" applyNumberFormat="1" applyFont="1" applyBorder="1"/>
    <xf numFmtId="3" fontId="82" fillId="0" borderId="1" xfId="18" applyNumberFormat="1" applyFont="1" applyBorder="1"/>
    <xf numFmtId="3" fontId="81" fillId="0" borderId="1" xfId="18" applyNumberFormat="1" applyFont="1" applyBorder="1" applyAlignment="1">
      <alignment horizontal="center"/>
    </xf>
    <xf numFmtId="3" fontId="82" fillId="0" borderId="1" xfId="18" applyNumberFormat="1" applyFont="1" applyBorder="1" applyAlignment="1">
      <alignment horizontal="center"/>
    </xf>
    <xf numFmtId="171" fontId="86" fillId="0" borderId="0" xfId="18" applyNumberFormat="1" applyFont="1" applyFill="1" applyBorder="1"/>
    <xf numFmtId="3" fontId="84" fillId="0" borderId="1" xfId="18" applyNumberFormat="1" applyFont="1" applyBorder="1"/>
    <xf numFmtId="0" fontId="69" fillId="0" borderId="1" xfId="10" applyFont="1" applyBorder="1" applyAlignment="1">
      <alignment horizontal="center"/>
    </xf>
    <xf numFmtId="0" fontId="31" fillId="0" borderId="1" xfId="10" applyBorder="1" applyAlignment="1">
      <alignment horizontal="right"/>
    </xf>
    <xf numFmtId="3" fontId="31" fillId="0" borderId="0" xfId="10" applyNumberFormat="1"/>
    <xf numFmtId="3" fontId="15" fillId="0" borderId="1" xfId="10" applyNumberFormat="1" applyFont="1" applyBorder="1" applyAlignment="1">
      <alignment horizontal="right"/>
    </xf>
    <xf numFmtId="3" fontId="29" fillId="0" borderId="1" xfId="10" applyNumberFormat="1" applyFont="1" applyBorder="1" applyAlignment="1">
      <alignment horizontal="right"/>
    </xf>
    <xf numFmtId="3" fontId="29" fillId="0" borderId="21" xfId="10" applyNumberFormat="1" applyFont="1" applyBorder="1"/>
    <xf numFmtId="3" fontId="29" fillId="0" borderId="22" xfId="10" applyNumberFormat="1" applyFont="1" applyBorder="1"/>
    <xf numFmtId="0" fontId="87" fillId="0" borderId="0" xfId="12" applyFont="1"/>
    <xf numFmtId="0" fontId="89" fillId="0" borderId="0" xfId="1" applyFont="1" applyFill="1" applyAlignment="1">
      <alignment wrapText="1"/>
    </xf>
    <xf numFmtId="165" fontId="89" fillId="0" borderId="0" xfId="1" applyNumberFormat="1" applyFont="1" applyFill="1" applyAlignment="1">
      <alignment wrapText="1"/>
    </xf>
    <xf numFmtId="0" fontId="50" fillId="2" borderId="32" xfId="10" applyFont="1" applyFill="1" applyBorder="1" applyAlignment="1"/>
    <xf numFmtId="0" fontId="50" fillId="2" borderId="30" xfId="10" applyFont="1" applyFill="1" applyBorder="1" applyAlignment="1"/>
    <xf numFmtId="0" fontId="50" fillId="0" borderId="30" xfId="10" applyFont="1" applyFill="1" applyBorder="1" applyAlignment="1"/>
    <xf numFmtId="0" fontId="15" fillId="2" borderId="0" xfId="19" applyFont="1" applyFill="1" applyBorder="1" applyAlignment="1">
      <alignment wrapText="1"/>
    </xf>
    <xf numFmtId="0" fontId="15" fillId="0" borderId="0" xfId="19" applyFont="1" applyFill="1" applyBorder="1" applyAlignment="1"/>
    <xf numFmtId="0" fontId="50" fillId="0" borderId="0" xfId="19" applyFont="1" applyFill="1"/>
    <xf numFmtId="0" fontId="50" fillId="0" borderId="0" xfId="19" applyFont="1"/>
    <xf numFmtId="0" fontId="50" fillId="0" borderId="0" xfId="19" applyFont="1" applyFill="1" applyBorder="1" applyAlignment="1"/>
    <xf numFmtId="0" fontId="15" fillId="2" borderId="26" xfId="19" applyFont="1" applyFill="1" applyBorder="1" applyAlignment="1">
      <alignment wrapText="1"/>
    </xf>
    <xf numFmtId="0" fontId="50" fillId="2" borderId="27" xfId="19" applyFont="1" applyFill="1" applyBorder="1" applyAlignment="1"/>
    <xf numFmtId="0" fontId="50" fillId="2" borderId="28" xfId="19" applyFont="1" applyFill="1" applyBorder="1" applyAlignment="1"/>
    <xf numFmtId="0" fontId="50" fillId="0" borderId="28" xfId="19" applyFont="1" applyFill="1" applyBorder="1" applyAlignment="1"/>
    <xf numFmtId="0" fontId="50" fillId="0" borderId="29" xfId="19" applyFont="1" applyFill="1" applyBorder="1" applyAlignment="1"/>
    <xf numFmtId="0" fontId="51" fillId="2" borderId="30" xfId="19" applyFont="1" applyFill="1" applyBorder="1" applyAlignment="1">
      <alignment wrapText="1"/>
    </xf>
    <xf numFmtId="0" fontId="51" fillId="2" borderId="0" xfId="19" applyFont="1" applyFill="1" applyBorder="1" applyAlignment="1">
      <alignment wrapText="1"/>
    </xf>
    <xf numFmtId="0" fontId="51" fillId="0" borderId="0" xfId="19" applyFont="1" applyFill="1" applyBorder="1" applyAlignment="1">
      <alignment wrapText="1"/>
    </xf>
    <xf numFmtId="0" fontId="15" fillId="2" borderId="0" xfId="19" applyFont="1" applyFill="1" applyBorder="1" applyAlignment="1"/>
    <xf numFmtId="168" fontId="28" fillId="0" borderId="9" xfId="10" applyNumberFormat="1" applyFont="1" applyBorder="1" applyAlignment="1">
      <alignment horizontal="center" vertical="center" wrapText="1"/>
    </xf>
    <xf numFmtId="168" fontId="28" fillId="0" borderId="20" xfId="10" applyNumberFormat="1" applyFont="1" applyBorder="1" applyAlignment="1">
      <alignment horizontal="center" vertical="center" wrapText="1"/>
    </xf>
    <xf numFmtId="168" fontId="21" fillId="0" borderId="16" xfId="10" applyNumberFormat="1" applyFont="1" applyBorder="1" applyAlignment="1">
      <alignment horizontal="right"/>
    </xf>
    <xf numFmtId="168" fontId="21" fillId="0" borderId="41" xfId="10" applyNumberFormat="1" applyFont="1" applyBorder="1" applyAlignment="1">
      <alignment horizontal="center"/>
    </xf>
    <xf numFmtId="168" fontId="28" fillId="0" borderId="41" xfId="10" applyNumberFormat="1" applyFont="1" applyBorder="1" applyAlignment="1"/>
    <xf numFmtId="168" fontId="28" fillId="0" borderId="41" xfId="10" applyNumberFormat="1" applyFont="1" applyBorder="1"/>
    <xf numFmtId="168" fontId="21" fillId="0" borderId="0" xfId="10" applyNumberFormat="1" applyFont="1" applyBorder="1"/>
    <xf numFmtId="168" fontId="21" fillId="0" borderId="0" xfId="10" applyNumberFormat="1" applyFont="1" applyBorder="1" applyAlignment="1"/>
    <xf numFmtId="0" fontId="21" fillId="0" borderId="0" xfId="10" applyFont="1" applyBorder="1"/>
    <xf numFmtId="0" fontId="21" fillId="0" borderId="0" xfId="10" applyFont="1" applyBorder="1" applyAlignment="1"/>
    <xf numFmtId="3" fontId="21" fillId="0" borderId="0" xfId="10" applyNumberFormat="1" applyFont="1" applyBorder="1"/>
    <xf numFmtId="3" fontId="15" fillId="0" borderId="16" xfId="19" applyNumberFormat="1" applyFont="1" applyBorder="1" applyAlignment="1">
      <alignment horizontal="right"/>
    </xf>
    <xf numFmtId="3" fontId="15" fillId="0" borderId="16" xfId="19" applyNumberFormat="1" applyFont="1" applyBorder="1"/>
    <xf numFmtId="3" fontId="29" fillId="0" borderId="41" xfId="10" applyNumberFormat="1" applyFont="1" applyBorder="1"/>
    <xf numFmtId="0" fontId="44" fillId="0" borderId="0" xfId="12" applyAlignment="1">
      <alignment wrapText="1"/>
    </xf>
    <xf numFmtId="0" fontId="29" fillId="2" borderId="42" xfId="10" applyFont="1" applyFill="1" applyBorder="1" applyAlignment="1">
      <alignment horizontal="center"/>
    </xf>
    <xf numFmtId="0" fontId="29" fillId="2" borderId="43" xfId="10" applyFont="1" applyFill="1" applyBorder="1" applyAlignment="1">
      <alignment horizontal="center"/>
    </xf>
    <xf numFmtId="0" fontId="29" fillId="2" borderId="44" xfId="10" applyFont="1" applyFill="1" applyBorder="1" applyAlignment="1">
      <alignment horizontal="center"/>
    </xf>
    <xf numFmtId="0" fontId="88" fillId="0" borderId="0" xfId="12" applyFont="1" applyAlignment="1">
      <alignment horizontal="center" wrapText="1"/>
    </xf>
    <xf numFmtId="0" fontId="89" fillId="0" borderId="0" xfId="1" applyFont="1" applyFill="1" applyAlignment="1">
      <alignment horizontal="center"/>
    </xf>
    <xf numFmtId="165" fontId="89" fillId="0" borderId="10" xfId="1" applyNumberFormat="1" applyFont="1" applyFill="1" applyBorder="1" applyAlignment="1">
      <alignment horizontal="left"/>
    </xf>
    <xf numFmtId="0" fontId="9" fillId="0" borderId="0" xfId="5" applyFont="1" applyFill="1" applyAlignment="1">
      <alignment horizontal="left"/>
    </xf>
    <xf numFmtId="0" fontId="5" fillId="0" borderId="0" xfId="5" applyFill="1" applyAlignment="1">
      <alignment horizontal="left"/>
    </xf>
    <xf numFmtId="0" fontId="25" fillId="0" borderId="1" xfId="5" applyFont="1" applyFill="1" applyBorder="1" applyAlignment="1">
      <alignment horizontal="center" vertical="center" wrapText="1"/>
    </xf>
    <xf numFmtId="0" fontId="9" fillId="0" borderId="0" xfId="5" applyFont="1" applyFill="1"/>
    <xf numFmtId="0" fontId="21" fillId="0" borderId="0" xfId="5" applyFont="1" applyFill="1" applyBorder="1" applyAlignment="1">
      <alignment horizontal="right"/>
    </xf>
    <xf numFmtId="0" fontId="21" fillId="0" borderId="0" xfId="5" applyFont="1" applyFill="1"/>
    <xf numFmtId="0" fontId="28" fillId="0" borderId="1" xfId="5" applyFont="1" applyFill="1" applyBorder="1" applyAlignment="1">
      <alignment horizontal="center" wrapText="1"/>
    </xf>
    <xf numFmtId="0" fontId="9" fillId="0" borderId="12" xfId="10" applyFont="1" applyBorder="1" applyAlignment="1">
      <alignment vertical="center" wrapText="1"/>
    </xf>
    <xf numFmtId="3" fontId="9" fillId="0" borderId="1" xfId="10" applyNumberFormat="1" applyFont="1" applyBorder="1" applyAlignment="1">
      <alignment horizontal="right" vertical="center"/>
    </xf>
    <xf numFmtId="0" fontId="9" fillId="0" borderId="1" xfId="10" applyFont="1" applyBorder="1" applyAlignment="1">
      <alignment horizontal="right" vertical="center"/>
    </xf>
    <xf numFmtId="3" fontId="9" fillId="0" borderId="16" xfId="10" applyNumberFormat="1" applyFont="1" applyBorder="1" applyAlignment="1">
      <alignment horizontal="center" vertical="center" wrapText="1"/>
    </xf>
    <xf numFmtId="0" fontId="50" fillId="2" borderId="27" xfId="10" applyFont="1" applyFill="1" applyBorder="1" applyAlignment="1">
      <alignment horizontal="left"/>
    </xf>
    <xf numFmtId="0" fontId="50" fillId="0" borderId="28" xfId="10" applyFont="1" applyFill="1" applyBorder="1" applyAlignment="1">
      <alignment horizontal="left"/>
    </xf>
    <xf numFmtId="0" fontId="50" fillId="2" borderId="24" xfId="10" applyFont="1" applyFill="1" applyBorder="1" applyAlignment="1">
      <alignment horizontal="left"/>
    </xf>
    <xf numFmtId="0" fontId="9" fillId="0" borderId="1" xfId="10" applyNumberFormat="1" applyFont="1" applyBorder="1" applyAlignment="1">
      <alignment horizontal="right" vertical="center"/>
    </xf>
    <xf numFmtId="0" fontId="9" fillId="0" borderId="1" xfId="5" quotePrefix="1" applyNumberFormat="1" applyFont="1" applyFill="1" applyBorder="1" applyAlignment="1">
      <alignment horizontal="center"/>
    </xf>
    <xf numFmtId="0" fontId="9" fillId="0" borderId="3" xfId="5" quotePrefix="1" applyNumberFormat="1" applyFont="1" applyFill="1" applyBorder="1" applyAlignment="1">
      <alignment horizontal="center"/>
    </xf>
    <xf numFmtId="0" fontId="93" fillId="0" borderId="1" xfId="5" applyFont="1" applyFill="1" applyBorder="1" applyAlignment="1">
      <alignment horizontal="center" wrapText="1"/>
    </xf>
    <xf numFmtId="0" fontId="93" fillId="0" borderId="1" xfId="5" applyFont="1" applyFill="1" applyBorder="1" applyAlignment="1">
      <alignment horizontal="center"/>
    </xf>
    <xf numFmtId="0" fontId="9" fillId="0" borderId="0" xfId="5" applyFont="1" applyFill="1" applyBorder="1"/>
    <xf numFmtId="0" fontId="11" fillId="0" borderId="3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/>
    </xf>
    <xf numFmtId="0" fontId="10" fillId="0" borderId="18" xfId="5" applyFont="1" applyFill="1" applyBorder="1" applyAlignment="1">
      <alignment horizontal="center"/>
    </xf>
    <xf numFmtId="0" fontId="9" fillId="0" borderId="18" xfId="5" applyFont="1" applyFill="1" applyBorder="1"/>
    <xf numFmtId="0" fontId="9" fillId="0" borderId="12" xfId="5" applyFont="1" applyFill="1" applyBorder="1"/>
    <xf numFmtId="0" fontId="9" fillId="0" borderId="0" xfId="5" applyFont="1" applyFill="1" applyBorder="1" applyAlignment="1">
      <alignment horizontal="right"/>
    </xf>
    <xf numFmtId="0" fontId="31" fillId="0" borderId="9" xfId="10" applyBorder="1"/>
    <xf numFmtId="0" fontId="67" fillId="0" borderId="1" xfId="10" applyFont="1" applyBorder="1" applyAlignment="1">
      <alignment wrapText="1"/>
    </xf>
    <xf numFmtId="0" fontId="67" fillId="0" borderId="1" xfId="10" applyFont="1" applyBorder="1" applyAlignment="1">
      <alignment horizontal="center" wrapText="1"/>
    </xf>
    <xf numFmtId="0" fontId="31" fillId="0" borderId="1" xfId="10" applyBorder="1"/>
    <xf numFmtId="0" fontId="31" fillId="0" borderId="21" xfId="10" applyBorder="1"/>
    <xf numFmtId="0" fontId="15" fillId="2" borderId="26" xfId="10" applyFont="1" applyFill="1" applyBorder="1" applyAlignment="1">
      <alignment horizontal="left" vertical="center" wrapText="1"/>
    </xf>
    <xf numFmtId="3" fontId="29" fillId="0" borderId="16" xfId="19" applyNumberFormat="1" applyFont="1" applyBorder="1"/>
    <xf numFmtId="0" fontId="27" fillId="0" borderId="9" xfId="10" applyFont="1" applyBorder="1" applyAlignment="1">
      <alignment horizontal="center" vertical="center" wrapText="1"/>
    </xf>
    <xf numFmtId="0" fontId="27" fillId="0" borderId="45" xfId="10" applyFont="1" applyBorder="1" applyAlignment="1">
      <alignment horizontal="center" vertical="center" wrapText="1"/>
    </xf>
    <xf numFmtId="0" fontId="27" fillId="0" borderId="6" xfId="10" applyFont="1" applyBorder="1" applyAlignment="1">
      <alignment horizontal="center" vertical="center" wrapText="1"/>
    </xf>
    <xf numFmtId="3" fontId="29" fillId="0" borderId="16" xfId="15" applyNumberFormat="1" applyFont="1" applyFill="1" applyBorder="1" applyAlignment="1">
      <alignment horizontal="center" wrapText="1"/>
    </xf>
    <xf numFmtId="3" fontId="29" fillId="0" borderId="22" xfId="15" applyNumberFormat="1" applyFont="1" applyFill="1" applyBorder="1" applyAlignment="1">
      <alignment horizontal="center" wrapText="1"/>
    </xf>
    <xf numFmtId="0" fontId="29" fillId="0" borderId="23" xfId="14" applyFont="1" applyFill="1" applyBorder="1" applyAlignment="1">
      <alignment horizontal="center"/>
    </xf>
    <xf numFmtId="0" fontId="21" fillId="0" borderId="0" xfId="5" applyFont="1" applyFill="1" applyBorder="1" applyAlignment="1">
      <alignment horizontal="left"/>
    </xf>
    <xf numFmtId="0" fontId="14" fillId="0" borderId="1" xfId="5" applyFont="1" applyFill="1" applyBorder="1" applyAlignment="1">
      <alignment vertical="center" wrapText="1"/>
    </xf>
    <xf numFmtId="0" fontId="24" fillId="0" borderId="5" xfId="5" applyFont="1" applyFill="1" applyBorder="1" applyAlignment="1">
      <alignment horizontal="center"/>
    </xf>
    <xf numFmtId="0" fontId="24" fillId="0" borderId="5" xfId="5" applyFont="1" applyFill="1" applyBorder="1"/>
    <xf numFmtId="0" fontId="89" fillId="0" borderId="0" xfId="1" applyFont="1" applyFill="1" applyAlignment="1">
      <alignment horizontal="left"/>
    </xf>
    <xf numFmtId="0" fontId="28" fillId="0" borderId="3" xfId="5" applyFont="1" applyFill="1" applyBorder="1" applyAlignment="1">
      <alignment horizontal="center"/>
    </xf>
    <xf numFmtId="0" fontId="21" fillId="0" borderId="0" xfId="5" applyFont="1" applyFill="1" applyBorder="1" applyAlignment="1">
      <alignment horizontal="center"/>
    </xf>
    <xf numFmtId="0" fontId="28" fillId="0" borderId="3" xfId="5" applyFont="1" applyFill="1" applyBorder="1" applyAlignment="1">
      <alignment horizontal="center" wrapText="1"/>
    </xf>
    <xf numFmtId="0" fontId="28" fillId="0" borderId="14" xfId="5" applyFont="1" applyFill="1" applyBorder="1" applyAlignment="1">
      <alignment horizontal="center"/>
    </xf>
    <xf numFmtId="0" fontId="24" fillId="0" borderId="8" xfId="5" applyFont="1" applyFill="1" applyBorder="1" applyAlignment="1">
      <alignment horizontal="center"/>
    </xf>
    <xf numFmtId="0" fontId="24" fillId="0" borderId="18" xfId="5" applyFont="1" applyFill="1" applyBorder="1" applyAlignment="1">
      <alignment horizontal="center"/>
    </xf>
    <xf numFmtId="3" fontId="9" fillId="0" borderId="16" xfId="10" applyNumberFormat="1" applyFont="1" applyBorder="1" applyAlignment="1">
      <alignment horizontal="right" vertical="center" wrapText="1"/>
    </xf>
    <xf numFmtId="0" fontId="1" fillId="0" borderId="0" xfId="5" applyFont="1" applyFill="1" applyAlignment="1">
      <alignment horizontal="left"/>
    </xf>
    <xf numFmtId="49" fontId="8" fillId="0" borderId="0" xfId="12" applyNumberFormat="1" applyFont="1" applyAlignment="1">
      <alignment horizontal="center"/>
    </xf>
    <xf numFmtId="49" fontId="8" fillId="0" borderId="0" xfId="12" applyNumberFormat="1" applyFont="1" applyAlignment="1">
      <alignment horizontal="center" vertical="center"/>
    </xf>
    <xf numFmtId="0" fontId="47" fillId="0" borderId="0" xfId="12" applyFont="1" applyAlignment="1">
      <alignment horizontal="left"/>
    </xf>
    <xf numFmtId="0" fontId="44" fillId="0" borderId="0" xfId="12" applyAlignment="1">
      <alignment wrapText="1"/>
    </xf>
    <xf numFmtId="0" fontId="88" fillId="0" borderId="0" xfId="12" applyFont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165" fontId="13" fillId="0" borderId="8" xfId="1" applyNumberFormat="1" applyFont="1" applyFill="1" applyBorder="1" applyAlignment="1">
      <alignment horizontal="center" vertical="center" wrapText="1"/>
    </xf>
    <xf numFmtId="165" fontId="13" fillId="0" borderId="12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wrapText="1"/>
    </xf>
    <xf numFmtId="0" fontId="9" fillId="0" borderId="0" xfId="5" applyFont="1" applyFill="1" applyAlignment="1">
      <alignment horizontal="left"/>
    </xf>
    <xf numFmtId="0" fontId="9" fillId="0" borderId="0" xfId="5" applyFont="1" applyFill="1" applyBorder="1" applyAlignment="1">
      <alignment horizontal="left"/>
    </xf>
    <xf numFmtId="0" fontId="18" fillId="0" borderId="0" xfId="5" applyFont="1" applyFill="1" applyBorder="1" applyAlignment="1">
      <alignment horizontal="center" vertical="center" wrapText="1"/>
    </xf>
    <xf numFmtId="0" fontId="18" fillId="0" borderId="15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/>
    </xf>
    <xf numFmtId="0" fontId="18" fillId="0" borderId="15" xfId="5" applyFont="1" applyFill="1" applyBorder="1" applyAlignment="1">
      <alignment horizontal="center" vertical="center"/>
    </xf>
    <xf numFmtId="0" fontId="20" fillId="0" borderId="1" xfId="5" applyFont="1" applyFill="1" applyBorder="1" applyAlignment="1">
      <alignment horizontal="center" vertical="center"/>
    </xf>
    <xf numFmtId="0" fontId="18" fillId="0" borderId="1" xfId="5" applyFont="1" applyFill="1" applyBorder="1" applyAlignment="1">
      <alignment horizontal="center"/>
    </xf>
    <xf numFmtId="0" fontId="1" fillId="0" borderId="0" xfId="5" applyFont="1" applyFill="1"/>
    <xf numFmtId="0" fontId="5" fillId="0" borderId="0" xfId="5" applyFill="1"/>
    <xf numFmtId="0" fontId="20" fillId="0" borderId="8" xfId="5" applyFont="1" applyFill="1" applyBorder="1" applyAlignment="1">
      <alignment horizontal="center" vertical="center" wrapText="1"/>
    </xf>
    <xf numFmtId="0" fontId="20" fillId="0" borderId="12" xfId="5" applyFont="1" applyFill="1" applyBorder="1" applyAlignment="1">
      <alignment horizontal="center" vertical="center" wrapText="1"/>
    </xf>
    <xf numFmtId="0" fontId="18" fillId="0" borderId="8" xfId="5" applyFont="1" applyFill="1" applyBorder="1" applyAlignment="1">
      <alignment horizontal="center"/>
    </xf>
    <xf numFmtId="0" fontId="18" fillId="0" borderId="12" xfId="5" applyFont="1" applyFill="1" applyBorder="1" applyAlignment="1">
      <alignment horizontal="center"/>
    </xf>
    <xf numFmtId="0" fontId="2" fillId="0" borderId="0" xfId="5" applyFont="1" applyFill="1" applyBorder="1" applyAlignment="1">
      <alignment horizontal="left"/>
    </xf>
    <xf numFmtId="0" fontId="4" fillId="0" borderId="0" xfId="5" applyFont="1" applyFill="1" applyBorder="1" applyAlignment="1">
      <alignment horizontal="left"/>
    </xf>
    <xf numFmtId="0" fontId="5" fillId="0" borderId="0" xfId="5" applyFill="1" applyBorder="1" applyAlignment="1">
      <alignment horizontal="left"/>
    </xf>
    <xf numFmtId="0" fontId="28" fillId="0" borderId="7" xfId="5" applyFont="1" applyFill="1" applyBorder="1" applyAlignment="1">
      <alignment horizontal="center"/>
    </xf>
    <xf numFmtId="0" fontId="28" fillId="0" borderId="14" xfId="5" applyFont="1" applyFill="1" applyBorder="1" applyAlignment="1">
      <alignment horizontal="center"/>
    </xf>
    <xf numFmtId="0" fontId="28" fillId="0" borderId="8" xfId="5" applyFont="1" applyFill="1" applyBorder="1" applyAlignment="1">
      <alignment horizontal="center" vertical="center" wrapText="1"/>
    </xf>
    <xf numFmtId="0" fontId="28" fillId="0" borderId="12" xfId="5" applyFont="1" applyFill="1" applyBorder="1" applyAlignment="1">
      <alignment horizontal="center" vertical="center" wrapText="1"/>
    </xf>
    <xf numFmtId="0" fontId="21" fillId="0" borderId="0" xfId="5" applyFont="1" applyFill="1" applyAlignment="1">
      <alignment horizontal="left"/>
    </xf>
    <xf numFmtId="0" fontId="25" fillId="0" borderId="12" xfId="5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right"/>
    </xf>
    <xf numFmtId="0" fontId="11" fillId="0" borderId="3" xfId="5" applyFont="1" applyFill="1" applyBorder="1" applyAlignment="1">
      <alignment horizontal="center" vertical="center"/>
    </xf>
    <xf numFmtId="0" fontId="11" fillId="0" borderId="7" xfId="5" applyFont="1" applyFill="1" applyBorder="1" applyAlignment="1">
      <alignment horizontal="center" vertical="center"/>
    </xf>
    <xf numFmtId="0" fontId="11" fillId="0" borderId="14" xfId="5" applyFont="1" applyFill="1" applyBorder="1" applyAlignment="1">
      <alignment horizontal="center" vertical="center"/>
    </xf>
    <xf numFmtId="0" fontId="21" fillId="0" borderId="10" xfId="5" applyFont="1" applyFill="1" applyBorder="1" applyAlignment="1">
      <alignment horizontal="left"/>
    </xf>
    <xf numFmtId="0" fontId="11" fillId="0" borderId="18" xfId="5" applyFont="1" applyFill="1" applyBorder="1" applyAlignment="1">
      <alignment horizontal="center" vertical="center" wrapText="1"/>
    </xf>
    <xf numFmtId="0" fontId="11" fillId="0" borderId="18" xfId="5" applyFont="1" applyFill="1" applyBorder="1" applyAlignment="1">
      <alignment horizontal="center" vertical="center"/>
    </xf>
    <xf numFmtId="0" fontId="13" fillId="0" borderId="8" xfId="5" applyFont="1" applyFill="1" applyBorder="1" applyAlignment="1">
      <alignment horizontal="center" vertical="center" wrapText="1"/>
    </xf>
    <xf numFmtId="0" fontId="13" fillId="0" borderId="12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center" vertical="center" wrapText="1"/>
    </xf>
    <xf numFmtId="0" fontId="21" fillId="0" borderId="0" xfId="5" applyFont="1" applyFill="1" applyBorder="1" applyAlignment="1">
      <alignment horizontal="left"/>
    </xf>
    <xf numFmtId="0" fontId="25" fillId="0" borderId="13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center" vertical="center" wrapText="1"/>
    </xf>
    <xf numFmtId="0" fontId="25" fillId="0" borderId="15" xfId="5" applyFont="1" applyFill="1" applyBorder="1" applyAlignment="1">
      <alignment horizontal="center" vertical="center" wrapText="1"/>
    </xf>
    <xf numFmtId="0" fontId="28" fillId="0" borderId="1" xfId="5" applyFont="1" applyFill="1" applyBorder="1" applyAlignment="1">
      <alignment horizontal="center" vertical="center"/>
    </xf>
    <xf numFmtId="0" fontId="28" fillId="0" borderId="1" xfId="5" applyFont="1" applyFill="1" applyBorder="1" applyAlignment="1">
      <alignment horizontal="center" wrapText="1"/>
    </xf>
    <xf numFmtId="3" fontId="15" fillId="0" borderId="35" xfId="10" applyNumberFormat="1" applyFont="1" applyFill="1" applyBorder="1" applyAlignment="1">
      <alignment horizontal="center"/>
    </xf>
    <xf numFmtId="3" fontId="15" fillId="0" borderId="34" xfId="10" applyNumberFormat="1" applyFont="1" applyFill="1" applyBorder="1" applyAlignment="1">
      <alignment horizontal="center"/>
    </xf>
    <xf numFmtId="3" fontId="15" fillId="0" borderId="33" xfId="10" applyNumberFormat="1" applyFont="1" applyFill="1" applyBorder="1" applyAlignment="1">
      <alignment horizontal="center"/>
    </xf>
    <xf numFmtId="3" fontId="15" fillId="0" borderId="7" xfId="10" applyNumberFormat="1" applyFont="1" applyFill="1" applyBorder="1" applyAlignment="1">
      <alignment horizontal="center"/>
    </xf>
    <xf numFmtId="3" fontId="15" fillId="0" borderId="10" xfId="10" applyNumberFormat="1" applyFont="1" applyFill="1" applyBorder="1" applyAlignment="1">
      <alignment horizontal="center"/>
    </xf>
    <xf numFmtId="3" fontId="15" fillId="0" borderId="14" xfId="10" applyNumberFormat="1" applyFont="1" applyFill="1" applyBorder="1" applyAlignment="1">
      <alignment horizontal="center"/>
    </xf>
    <xf numFmtId="0" fontId="15" fillId="2" borderId="30" xfId="10" applyFont="1" applyFill="1" applyBorder="1" applyAlignment="1">
      <alignment horizontal="right"/>
    </xf>
    <xf numFmtId="3" fontId="15" fillId="0" borderId="19" xfId="10" applyNumberFormat="1" applyFont="1" applyFill="1" applyBorder="1" applyAlignment="1">
      <alignment vertical="center"/>
    </xf>
    <xf numFmtId="3" fontId="15" fillId="0" borderId="2" xfId="10" applyNumberFormat="1" applyFont="1" applyFill="1" applyBorder="1" applyAlignment="1">
      <alignment vertical="center"/>
    </xf>
    <xf numFmtId="3" fontId="29" fillId="0" borderId="9" xfId="10" applyNumberFormat="1" applyFont="1" applyFill="1" applyBorder="1" applyAlignment="1">
      <alignment horizontal="center"/>
    </xf>
    <xf numFmtId="3" fontId="29" fillId="0" borderId="20" xfId="10" applyNumberFormat="1" applyFont="1" applyFill="1" applyBorder="1" applyAlignment="1">
      <alignment horizontal="center"/>
    </xf>
    <xf numFmtId="0" fontId="15" fillId="2" borderId="24" xfId="10" applyFont="1" applyFill="1" applyBorder="1" applyAlignment="1">
      <alignment horizontal="center" wrapText="1"/>
    </xf>
    <xf numFmtId="0" fontId="15" fillId="2" borderId="0" xfId="10" applyFont="1" applyFill="1" applyBorder="1" applyAlignment="1">
      <alignment horizontal="center" wrapText="1"/>
    </xf>
    <xf numFmtId="0" fontId="15" fillId="2" borderId="25" xfId="10" applyFont="1" applyFill="1" applyBorder="1" applyAlignment="1">
      <alignment horizontal="center" wrapText="1"/>
    </xf>
    <xf numFmtId="0" fontId="15" fillId="2" borderId="26" xfId="10" applyFont="1" applyFill="1" applyBorder="1" applyAlignment="1">
      <alignment horizontal="center" wrapText="1"/>
    </xf>
    <xf numFmtId="0" fontId="51" fillId="2" borderId="27" xfId="10" applyFont="1" applyFill="1" applyBorder="1" applyAlignment="1">
      <alignment horizontal="center" wrapText="1"/>
    </xf>
    <xf numFmtId="0" fontId="51" fillId="2" borderId="28" xfId="10" applyFont="1" applyFill="1" applyBorder="1" applyAlignment="1">
      <alignment horizontal="center" wrapText="1"/>
    </xf>
    <xf numFmtId="0" fontId="51" fillId="2" borderId="24" xfId="10" applyFont="1" applyFill="1" applyBorder="1" applyAlignment="1">
      <alignment horizontal="center" wrapText="1"/>
    </xf>
    <xf numFmtId="0" fontId="51" fillId="2" borderId="0" xfId="10" applyFont="1" applyFill="1" applyBorder="1" applyAlignment="1">
      <alignment horizontal="center" wrapText="1"/>
    </xf>
    <xf numFmtId="0" fontId="15" fillId="2" borderId="0" xfId="10" applyFont="1" applyFill="1" applyBorder="1" applyAlignment="1">
      <alignment horizontal="right"/>
    </xf>
    <xf numFmtId="0" fontId="51" fillId="2" borderId="32" xfId="10" applyFont="1" applyFill="1" applyBorder="1" applyAlignment="1">
      <alignment horizontal="center" wrapText="1"/>
    </xf>
    <xf numFmtId="0" fontId="51" fillId="2" borderId="30" xfId="10" applyFont="1" applyFill="1" applyBorder="1" applyAlignment="1">
      <alignment horizontal="center" wrapText="1"/>
    </xf>
    <xf numFmtId="0" fontId="15" fillId="2" borderId="11" xfId="10" applyFont="1" applyFill="1" applyBorder="1" applyAlignment="1">
      <alignment horizontal="right"/>
    </xf>
    <xf numFmtId="3" fontId="21" fillId="0" borderId="1" xfId="17" applyNumberFormat="1" applyFont="1" applyBorder="1" applyAlignment="1">
      <alignment horizontal="right"/>
    </xf>
    <xf numFmtId="0" fontId="16" fillId="0" borderId="1" xfId="10" applyFont="1" applyBorder="1" applyAlignment="1"/>
    <xf numFmtId="0" fontId="16" fillId="0" borderId="16" xfId="10" applyFont="1" applyBorder="1" applyAlignment="1"/>
    <xf numFmtId="0" fontId="50" fillId="2" borderId="0" xfId="10" applyFont="1" applyFill="1" applyBorder="1" applyAlignment="1">
      <alignment horizontal="center" vertical="center" wrapText="1"/>
    </xf>
    <xf numFmtId="0" fontId="50" fillId="2" borderId="28" xfId="10" applyFont="1" applyFill="1" applyBorder="1" applyAlignment="1">
      <alignment horizontal="center" wrapText="1"/>
    </xf>
    <xf numFmtId="0" fontId="15" fillId="2" borderId="25" xfId="19" applyFont="1" applyFill="1" applyBorder="1" applyAlignment="1">
      <alignment horizontal="center" wrapText="1"/>
    </xf>
    <xf numFmtId="0" fontId="15" fillId="2" borderId="26" xfId="19" applyFont="1" applyFill="1" applyBorder="1" applyAlignment="1">
      <alignment horizontal="center" wrapText="1"/>
    </xf>
    <xf numFmtId="0" fontId="51" fillId="2" borderId="32" xfId="19" applyFont="1" applyFill="1" applyBorder="1" applyAlignment="1">
      <alignment horizontal="center" wrapText="1"/>
    </xf>
    <xf numFmtId="0" fontId="51" fillId="2" borderId="30" xfId="19" applyFont="1" applyFill="1" applyBorder="1" applyAlignment="1">
      <alignment horizontal="center" wrapText="1"/>
    </xf>
    <xf numFmtId="0" fontId="15" fillId="2" borderId="0" xfId="19" applyFont="1" applyFill="1" applyBorder="1" applyAlignment="1">
      <alignment horizontal="right"/>
    </xf>
    <xf numFmtId="0" fontId="50" fillId="2" borderId="28" xfId="10" applyFont="1" applyFill="1" applyBorder="1" applyAlignment="1">
      <alignment horizontal="center" vertical="center" wrapText="1"/>
    </xf>
    <xf numFmtId="0" fontId="15" fillId="2" borderId="25" xfId="10" applyFont="1" applyFill="1" applyBorder="1" applyAlignment="1">
      <alignment horizontal="center" vertical="center" wrapText="1"/>
    </xf>
    <xf numFmtId="0" fontId="15" fillId="2" borderId="26" xfId="10" applyFont="1" applyFill="1" applyBorder="1" applyAlignment="1">
      <alignment horizontal="center" vertical="center" wrapText="1"/>
    </xf>
    <xf numFmtId="0" fontId="15" fillId="2" borderId="0" xfId="10" applyFont="1" applyFill="1" applyBorder="1" applyAlignment="1">
      <alignment horizontal="left" wrapText="1"/>
    </xf>
    <xf numFmtId="0" fontId="9" fillId="0" borderId="1" xfId="10" applyFont="1" applyBorder="1" applyAlignment="1">
      <alignment vertical="center"/>
    </xf>
    <xf numFmtId="0" fontId="9" fillId="0" borderId="16" xfId="10" applyFont="1" applyBorder="1" applyAlignment="1">
      <alignment vertical="center"/>
    </xf>
    <xf numFmtId="0" fontId="51" fillId="2" borderId="8" xfId="10" applyFont="1" applyFill="1" applyBorder="1" applyAlignment="1">
      <alignment horizontal="center" wrapText="1"/>
    </xf>
    <xf numFmtId="0" fontId="51" fillId="2" borderId="18" xfId="10" applyFont="1" applyFill="1" applyBorder="1" applyAlignment="1">
      <alignment horizontal="center" wrapText="1"/>
    </xf>
    <xf numFmtId="0" fontId="51" fillId="2" borderId="12" xfId="10" applyFont="1" applyFill="1" applyBorder="1" applyAlignment="1">
      <alignment horizontal="center" wrapText="1"/>
    </xf>
    <xf numFmtId="3" fontId="83" fillId="0" borderId="35" xfId="18" applyNumberFormat="1" applyFont="1" applyBorder="1" applyAlignment="1">
      <alignment horizontal="left"/>
    </xf>
    <xf numFmtId="3" fontId="83" fillId="0" borderId="34" xfId="18" applyNumberFormat="1" applyFont="1" applyBorder="1" applyAlignment="1">
      <alignment horizontal="left"/>
    </xf>
    <xf numFmtId="3" fontId="83" fillId="0" borderId="33" xfId="18" applyNumberFormat="1" applyFont="1" applyBorder="1" applyAlignment="1">
      <alignment horizontal="left"/>
    </xf>
    <xf numFmtId="3" fontId="83" fillId="0" borderId="7" xfId="18" applyNumberFormat="1" applyFont="1" applyBorder="1" applyAlignment="1">
      <alignment horizontal="left"/>
    </xf>
    <xf numFmtId="3" fontId="83" fillId="0" borderId="10" xfId="18" applyNumberFormat="1" applyFont="1" applyBorder="1" applyAlignment="1">
      <alignment horizontal="left"/>
    </xf>
    <xf numFmtId="3" fontId="83" fillId="0" borderId="14" xfId="18" applyNumberFormat="1" applyFont="1" applyBorder="1" applyAlignment="1">
      <alignment horizontal="left"/>
    </xf>
    <xf numFmtId="3" fontId="81" fillId="0" borderId="8" xfId="18" applyNumberFormat="1" applyFont="1" applyBorder="1" applyAlignment="1">
      <alignment horizontal="center"/>
    </xf>
    <xf numFmtId="3" fontId="81" fillId="0" borderId="18" xfId="18" applyNumberFormat="1" applyFont="1" applyBorder="1" applyAlignment="1">
      <alignment horizontal="center"/>
    </xf>
    <xf numFmtId="3" fontId="81" fillId="0" borderId="12" xfId="18" applyNumberFormat="1" applyFont="1" applyBorder="1" applyAlignment="1">
      <alignment horizontal="center"/>
    </xf>
    <xf numFmtId="0" fontId="90" fillId="2" borderId="10" xfId="10" applyFont="1" applyFill="1" applyBorder="1" applyAlignment="1">
      <alignment horizontal="center"/>
    </xf>
    <xf numFmtId="0" fontId="91" fillId="2" borderId="10" xfId="10" applyFont="1" applyFill="1" applyBorder="1" applyAlignment="1">
      <alignment horizontal="center"/>
    </xf>
    <xf numFmtId="3" fontId="84" fillId="0" borderId="8" xfId="18" applyNumberFormat="1" applyFont="1" applyBorder="1" applyAlignment="1">
      <alignment horizontal="center"/>
    </xf>
    <xf numFmtId="3" fontId="84" fillId="0" borderId="18" xfId="18" applyNumberFormat="1" applyFont="1" applyBorder="1" applyAlignment="1">
      <alignment horizontal="center"/>
    </xf>
    <xf numFmtId="3" fontId="84" fillId="0" borderId="12" xfId="18" applyNumberFormat="1" applyFont="1" applyBorder="1" applyAlignment="1">
      <alignment horizontal="center"/>
    </xf>
  </cellXfs>
  <cellStyles count="20">
    <cellStyle name="Ezres" xfId="11" builtinId="3"/>
    <cellStyle name="Ezres 2" xfId="2" xr:uid="{00000000-0005-0000-0000-000000000000}"/>
    <cellStyle name="Ezres 3" xfId="6" xr:uid="{00000000-0005-0000-0000-000001000000}"/>
    <cellStyle name="Normál" xfId="0" builtinId="0"/>
    <cellStyle name="Normál 2" xfId="1" xr:uid="{00000000-0005-0000-0000-000003000000}"/>
    <cellStyle name="Normál 2 2" xfId="10" xr:uid="{2E0128A2-CC92-44C9-A8A8-5E22C55726A5}"/>
    <cellStyle name="Normál 3" xfId="3" xr:uid="{00000000-0005-0000-0000-000004000000}"/>
    <cellStyle name="Normál 3 2" xfId="9" xr:uid="{853782D3-B315-42E2-AB36-FCCDF2CED0B8}"/>
    <cellStyle name="Normál 4" xfId="5" xr:uid="{00000000-0005-0000-0000-000005000000}"/>
    <cellStyle name="Normál 4 2" xfId="18" xr:uid="{15722431-6E7B-4139-96FF-4EED3C7F1ED6}"/>
    <cellStyle name="Normál 5" xfId="7" xr:uid="{00000000-0005-0000-0000-000006000000}"/>
    <cellStyle name="Normál 6" xfId="8" xr:uid="{F3639968-5873-44D9-95CF-FC8A44E7771E}"/>
    <cellStyle name="Normál 7" xfId="12" xr:uid="{99581621-FF1D-46E8-8CB1-466B7B70CEC8}"/>
    <cellStyle name="Normál 8" xfId="19" xr:uid="{12466F0B-8869-455C-9A17-91BB541149C0}"/>
    <cellStyle name="Normál_Munka15" xfId="17" xr:uid="{2A07F3F5-7E38-47DD-8490-9DCCC1430DC2}"/>
    <cellStyle name="Normál_Munka4" xfId="15" xr:uid="{67CA76F3-135B-4F67-8B43-6871D4902F60}"/>
    <cellStyle name="Normál_Munka5" xfId="14" xr:uid="{261DE40A-ABAC-4EE7-9D28-DC54E1739701}"/>
    <cellStyle name="Normál_Munka7" xfId="16" xr:uid="{DF87143D-D8BA-460D-90F1-32A738C726AA}"/>
    <cellStyle name="Százalék 2" xfId="4" xr:uid="{00000000-0005-0000-0000-000007000000}"/>
    <cellStyle name="Százalék 3" xfId="13" xr:uid="{2AAC85EB-C91A-4BCC-B2E5-89F766B8E3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.K&#246;lts&#233;gvet&#233;s/2021.%20&#233;vi%20rendelet%20mell&#233;klet%202021ktgv%20megalkot&#225;s.&#250;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melléklet"/>
      <sheetName val="2 melléklet"/>
      <sheetName val="2A melléklet"/>
      <sheetName val="2B melléklet "/>
      <sheetName val="3 melléklet"/>
      <sheetName val="3A melléklet"/>
      <sheetName val="3B melléklet "/>
      <sheetName val="4 melléklet"/>
      <sheetName val="5 melléklet"/>
      <sheetName val="6 melléklet"/>
      <sheetName val="7 melléklet"/>
      <sheetName val="8 melléklet"/>
      <sheetName val="9 melléklet"/>
      <sheetName val="10 melléklet"/>
      <sheetName val="11 melléklet"/>
      <sheetName val="12 melléklet"/>
      <sheetName val="13 melléklet"/>
      <sheetName val="14 melléklet"/>
      <sheetName val="15 melléklet"/>
      <sheetName val="16 melléklet"/>
      <sheetName val="17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A904-4737-4D2E-83CC-9D5A7B521C66}">
  <sheetPr>
    <pageSetUpPr fitToPage="1"/>
  </sheetPr>
  <dimension ref="A1:N81"/>
  <sheetViews>
    <sheetView workbookViewId="0">
      <selection activeCell="B1" sqref="B1:L1"/>
    </sheetView>
  </sheetViews>
  <sheetFormatPr defaultRowHeight="12.75" x14ac:dyDescent="0.2"/>
  <cols>
    <col min="1" max="1" width="9.140625" style="169"/>
    <col min="2" max="2" width="52.42578125" style="169" customWidth="1"/>
    <col min="3" max="3" width="18.5703125" style="169" customWidth="1"/>
    <col min="4" max="4" width="17.42578125" style="169" customWidth="1"/>
    <col min="5" max="6" width="11.140625" style="169" bestFit="1" customWidth="1"/>
    <col min="7" max="7" width="2.7109375" style="169" customWidth="1"/>
    <col min="8" max="12" width="9.140625" style="169" hidden="1" customWidth="1"/>
    <col min="13" max="16384" width="9.140625" style="169"/>
  </cols>
  <sheetData>
    <row r="1" spans="1:14" ht="51.75" customHeight="1" x14ac:dyDescent="0.2">
      <c r="B1" s="749" t="s">
        <v>583</v>
      </c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215"/>
    </row>
    <row r="2" spans="1:14" ht="45.75" customHeight="1" x14ac:dyDescent="0.2">
      <c r="B2" s="687" t="s">
        <v>570</v>
      </c>
    </row>
    <row r="3" spans="1:14" ht="63" customHeight="1" x14ac:dyDescent="0.25">
      <c r="A3" s="214"/>
      <c r="B3" s="750" t="s">
        <v>563</v>
      </c>
      <c r="C3" s="750"/>
      <c r="D3" s="750"/>
      <c r="E3" s="691"/>
      <c r="F3" s="691"/>
      <c r="G3" s="213"/>
      <c r="H3" s="213"/>
      <c r="I3" s="213"/>
      <c r="J3" s="213"/>
      <c r="K3" s="213"/>
      <c r="L3" s="213"/>
      <c r="M3" s="213"/>
      <c r="N3" s="213"/>
    </row>
    <row r="5" spans="1:14" ht="15" x14ac:dyDescent="0.25">
      <c r="A5" s="748" t="s">
        <v>541</v>
      </c>
      <c r="B5" s="748"/>
      <c r="C5" s="748"/>
      <c r="D5" s="748"/>
    </row>
    <row r="6" spans="1:14" x14ac:dyDescent="0.2">
      <c r="D6" s="653" t="s">
        <v>337</v>
      </c>
    </row>
    <row r="7" spans="1:14" x14ac:dyDescent="0.2">
      <c r="A7" s="212" t="s">
        <v>68</v>
      </c>
      <c r="B7" s="208" t="s">
        <v>76</v>
      </c>
      <c r="C7" s="211" t="s">
        <v>69</v>
      </c>
      <c r="D7" s="210" t="s">
        <v>70</v>
      </c>
    </row>
    <row r="8" spans="1:14" ht="25.5" x14ac:dyDescent="0.2">
      <c r="A8" s="209" t="s">
        <v>2</v>
      </c>
      <c r="B8" s="208" t="s">
        <v>0</v>
      </c>
      <c r="C8" s="207" t="s">
        <v>568</v>
      </c>
      <c r="D8" s="207" t="s">
        <v>571</v>
      </c>
    </row>
    <row r="9" spans="1:14" x14ac:dyDescent="0.2">
      <c r="A9" s="172" t="s">
        <v>1</v>
      </c>
      <c r="B9" s="193" t="s">
        <v>5</v>
      </c>
      <c r="C9" s="192">
        <f>SUM(C10:C16)</f>
        <v>555543086</v>
      </c>
      <c r="D9" s="192">
        <f>SUM(D10:D16)</f>
        <v>564604667</v>
      </c>
    </row>
    <row r="10" spans="1:14" ht="21" customHeight="1" x14ac:dyDescent="0.2">
      <c r="A10" s="172" t="s">
        <v>3</v>
      </c>
      <c r="B10" s="206" t="s">
        <v>336</v>
      </c>
      <c r="C10" s="191">
        <v>195358281</v>
      </c>
      <c r="D10" s="191">
        <f>195358281+45393</f>
        <v>195403674</v>
      </c>
    </row>
    <row r="11" spans="1:14" x14ac:dyDescent="0.2">
      <c r="A11" s="172" t="s">
        <v>4</v>
      </c>
      <c r="B11" s="190" t="s">
        <v>335</v>
      </c>
      <c r="C11" s="191">
        <v>106168520</v>
      </c>
      <c r="D11" s="191">
        <v>106168520</v>
      </c>
    </row>
    <row r="12" spans="1:14" x14ac:dyDescent="0.2">
      <c r="A12" s="172" t="s">
        <v>6</v>
      </c>
      <c r="B12" s="190" t="s">
        <v>334</v>
      </c>
      <c r="C12" s="191">
        <v>186270400</v>
      </c>
      <c r="D12" s="191">
        <f>186270400+9016188</f>
        <v>195286588</v>
      </c>
    </row>
    <row r="13" spans="1:14" x14ac:dyDescent="0.2">
      <c r="A13" s="172" t="s">
        <v>8</v>
      </c>
      <c r="B13" s="190" t="s">
        <v>333</v>
      </c>
      <c r="C13" s="191">
        <v>57264785</v>
      </c>
      <c r="D13" s="191">
        <v>57264785</v>
      </c>
    </row>
    <row r="14" spans="1:14" x14ac:dyDescent="0.2">
      <c r="A14" s="172" t="s">
        <v>22</v>
      </c>
      <c r="B14" s="190" t="s">
        <v>332</v>
      </c>
      <c r="C14" s="191">
        <v>10481100</v>
      </c>
      <c r="D14" s="191">
        <v>10481100</v>
      </c>
    </row>
    <row r="15" spans="1:14" x14ac:dyDescent="0.2">
      <c r="A15" s="172" t="s">
        <v>24</v>
      </c>
      <c r="B15" s="190" t="s">
        <v>331</v>
      </c>
      <c r="C15" s="191"/>
      <c r="D15" s="191"/>
    </row>
    <row r="16" spans="1:14" x14ac:dyDescent="0.2">
      <c r="A16" s="172" t="s">
        <v>25</v>
      </c>
      <c r="B16" s="190" t="s">
        <v>148</v>
      </c>
      <c r="C16" s="191"/>
      <c r="D16" s="191">
        <v>0</v>
      </c>
    </row>
    <row r="17" spans="1:6" x14ac:dyDescent="0.2">
      <c r="A17" s="172" t="s">
        <v>27</v>
      </c>
      <c r="B17" s="193" t="s">
        <v>11</v>
      </c>
      <c r="C17" s="192">
        <f>SUM(C18:C19)</f>
        <v>15725600</v>
      </c>
      <c r="D17" s="192">
        <f>SUM(D18:D19)</f>
        <v>71113649</v>
      </c>
      <c r="E17" s="170"/>
      <c r="F17" s="170"/>
    </row>
    <row r="18" spans="1:6" x14ac:dyDescent="0.2">
      <c r="A18" s="172" t="s">
        <v>28</v>
      </c>
      <c r="B18" s="190" t="s">
        <v>9</v>
      </c>
      <c r="C18" s="191"/>
      <c r="D18" s="191"/>
    </row>
    <row r="19" spans="1:6" x14ac:dyDescent="0.2">
      <c r="A19" s="172" t="s">
        <v>29</v>
      </c>
      <c r="B19" s="190" t="s">
        <v>229</v>
      </c>
      <c r="C19" s="191">
        <v>15725600</v>
      </c>
      <c r="D19" s="191">
        <f>'2.melléklet.Önkormányzat.és int'!N39</f>
        <v>71113649</v>
      </c>
    </row>
    <row r="20" spans="1:6" x14ac:dyDescent="0.2">
      <c r="A20" s="172" t="s">
        <v>31</v>
      </c>
      <c r="B20" s="190" t="s">
        <v>10</v>
      </c>
      <c r="C20" s="191"/>
      <c r="D20" s="191"/>
    </row>
    <row r="21" spans="1:6" x14ac:dyDescent="0.2">
      <c r="A21" s="172" t="s">
        <v>32</v>
      </c>
      <c r="B21" s="193" t="s">
        <v>15</v>
      </c>
      <c r="C21" s="192">
        <f>SUM(C22:C23)</f>
        <v>0</v>
      </c>
      <c r="D21" s="192">
        <f>SUM(D22:D23)</f>
        <v>0</v>
      </c>
    </row>
    <row r="22" spans="1:6" x14ac:dyDescent="0.2">
      <c r="A22" s="172" t="s">
        <v>35</v>
      </c>
      <c r="B22" s="190" t="s">
        <v>12</v>
      </c>
      <c r="C22" s="191"/>
      <c r="D22" s="191"/>
    </row>
    <row r="23" spans="1:6" x14ac:dyDescent="0.2">
      <c r="A23" s="172" t="s">
        <v>37</v>
      </c>
      <c r="B23" s="190" t="s">
        <v>13</v>
      </c>
      <c r="C23" s="191"/>
      <c r="D23" s="191"/>
    </row>
    <row r="24" spans="1:6" x14ac:dyDescent="0.2">
      <c r="A24" s="172" t="s">
        <v>72</v>
      </c>
      <c r="B24" s="190" t="s">
        <v>14</v>
      </c>
      <c r="C24" s="191"/>
      <c r="D24" s="191"/>
    </row>
    <row r="25" spans="1:6" x14ac:dyDescent="0.2">
      <c r="A25" s="172" t="s">
        <v>40</v>
      </c>
      <c r="B25" s="193" t="s">
        <v>7</v>
      </c>
      <c r="C25" s="192">
        <f>C26+C29+C30+C31+C27+C28</f>
        <v>79500000</v>
      </c>
      <c r="D25" s="192">
        <f>D26+D29+D30+D31+D27+D28</f>
        <v>79500000</v>
      </c>
    </row>
    <row r="26" spans="1:6" x14ac:dyDescent="0.2">
      <c r="A26" s="172" t="s">
        <v>42</v>
      </c>
      <c r="B26" s="190" t="s">
        <v>16</v>
      </c>
      <c r="C26" s="191"/>
      <c r="D26" s="191"/>
    </row>
    <row r="27" spans="1:6" x14ac:dyDescent="0.2">
      <c r="A27" s="172" t="s">
        <v>158</v>
      </c>
      <c r="B27" s="190" t="s">
        <v>572</v>
      </c>
      <c r="C27" s="191">
        <v>16000000</v>
      </c>
      <c r="D27" s="191">
        <v>16000000</v>
      </c>
    </row>
    <row r="28" spans="1:6" x14ac:dyDescent="0.2">
      <c r="A28" s="172" t="s">
        <v>159</v>
      </c>
      <c r="B28" s="190" t="s">
        <v>17</v>
      </c>
      <c r="C28" s="191">
        <v>63000000</v>
      </c>
      <c r="D28" s="191">
        <v>63000000</v>
      </c>
    </row>
    <row r="29" spans="1:6" x14ac:dyDescent="0.2">
      <c r="A29" s="172" t="s">
        <v>160</v>
      </c>
      <c r="B29" s="190" t="s">
        <v>18</v>
      </c>
      <c r="C29" s="191"/>
      <c r="D29" s="191"/>
    </row>
    <row r="30" spans="1:6" x14ac:dyDescent="0.2">
      <c r="A30" s="172" t="s">
        <v>161</v>
      </c>
      <c r="B30" s="190" t="s">
        <v>19</v>
      </c>
      <c r="C30" s="191"/>
      <c r="D30" s="191"/>
    </row>
    <row r="31" spans="1:6" x14ac:dyDescent="0.2">
      <c r="A31" s="172" t="s">
        <v>162</v>
      </c>
      <c r="B31" s="190" t="s">
        <v>20</v>
      </c>
      <c r="C31" s="191">
        <v>500000</v>
      </c>
      <c r="D31" s="191">
        <v>500000</v>
      </c>
    </row>
    <row r="32" spans="1:6" x14ac:dyDescent="0.2">
      <c r="A32" s="172" t="s">
        <v>163</v>
      </c>
      <c r="B32" s="193" t="s">
        <v>21</v>
      </c>
      <c r="C32" s="192">
        <f ca="1">'2.melléklet.Önkormányzat.és int'!E34</f>
        <v>105163694</v>
      </c>
      <c r="D32" s="192">
        <f ca="1">'2.melléklet.Önkormányzat.és int'!F34</f>
        <v>105163694</v>
      </c>
    </row>
    <row r="33" spans="1:4" x14ac:dyDescent="0.2">
      <c r="A33" s="172" t="s">
        <v>164</v>
      </c>
      <c r="B33" s="193" t="s">
        <v>23</v>
      </c>
      <c r="C33" s="192">
        <f>'2.melléklet.Önkormányzat.és int'!Q39</f>
        <v>9590083</v>
      </c>
      <c r="D33" s="192">
        <f>'2.melléklet.Önkormányzat.és int'!R39</f>
        <v>9590083</v>
      </c>
    </row>
    <row r="34" spans="1:4" x14ac:dyDescent="0.2">
      <c r="A34" s="172" t="s">
        <v>165</v>
      </c>
      <c r="B34" s="193" t="s">
        <v>75</v>
      </c>
      <c r="C34" s="192">
        <v>600000</v>
      </c>
      <c r="D34" s="192">
        <v>600000</v>
      </c>
    </row>
    <row r="35" spans="1:4" x14ac:dyDescent="0.2">
      <c r="A35" s="172" t="s">
        <v>166</v>
      </c>
      <c r="B35" s="193" t="s">
        <v>26</v>
      </c>
      <c r="C35" s="192"/>
      <c r="D35" s="192"/>
    </row>
    <row r="36" spans="1:4" x14ac:dyDescent="0.2">
      <c r="A36" s="172" t="s">
        <v>167</v>
      </c>
      <c r="B36" s="193" t="s">
        <v>65</v>
      </c>
      <c r="C36" s="192">
        <f ca="1">C9+C17+C21+C25+C32+C33+C34+C35</f>
        <v>766122463</v>
      </c>
      <c r="D36" s="192">
        <f ca="1">D9+D17+D21+D25+D32+D33+D34+D35</f>
        <v>830572093</v>
      </c>
    </row>
    <row r="37" spans="1:4" x14ac:dyDescent="0.2">
      <c r="A37" s="172" t="s">
        <v>168</v>
      </c>
      <c r="B37" s="193" t="s">
        <v>30</v>
      </c>
      <c r="C37" s="192"/>
      <c r="D37" s="192"/>
    </row>
    <row r="38" spans="1:4" x14ac:dyDescent="0.2">
      <c r="A38" s="172" t="s">
        <v>169</v>
      </c>
      <c r="B38" s="193" t="s">
        <v>150</v>
      </c>
      <c r="C38" s="192">
        <f ca="1">'2.melléklet.Önkormányzat.és int'!W34</f>
        <v>254375436</v>
      </c>
      <c r="D38" s="192">
        <f ca="1">'2.melléklet.Önkormányzat.és int'!X34</f>
        <v>225564982</v>
      </c>
    </row>
    <row r="39" spans="1:4" x14ac:dyDescent="0.2">
      <c r="A39" s="172" t="s">
        <v>170</v>
      </c>
      <c r="B39" s="193" t="s">
        <v>33</v>
      </c>
      <c r="C39" s="192">
        <f>C40</f>
        <v>0</v>
      </c>
      <c r="D39" s="192">
        <v>0</v>
      </c>
    </row>
    <row r="40" spans="1:4" x14ac:dyDescent="0.2">
      <c r="A40" s="172" t="s">
        <v>171</v>
      </c>
      <c r="B40" s="190" t="s">
        <v>34</v>
      </c>
      <c r="C40" s="191"/>
      <c r="D40" s="191"/>
    </row>
    <row r="41" spans="1:4" x14ac:dyDescent="0.2">
      <c r="A41" s="172" t="s">
        <v>330</v>
      </c>
      <c r="B41" s="193" t="s">
        <v>36</v>
      </c>
      <c r="C41" s="192"/>
      <c r="D41" s="192"/>
    </row>
    <row r="42" spans="1:4" x14ac:dyDescent="0.2">
      <c r="A42" s="172" t="s">
        <v>172</v>
      </c>
      <c r="B42" s="193" t="s">
        <v>38</v>
      </c>
      <c r="C42" s="192"/>
      <c r="D42" s="192"/>
    </row>
    <row r="43" spans="1:4" x14ac:dyDescent="0.2">
      <c r="A43" s="172" t="s">
        <v>173</v>
      </c>
      <c r="B43" s="193" t="s">
        <v>39</v>
      </c>
      <c r="C43" s="192"/>
      <c r="D43" s="192"/>
    </row>
    <row r="44" spans="1:4" x14ac:dyDescent="0.2">
      <c r="A44" s="172" t="s">
        <v>174</v>
      </c>
      <c r="B44" s="193" t="s">
        <v>41</v>
      </c>
      <c r="C44" s="192">
        <f ca="1">C37+C38+C39+C41+C42+C43+C40</f>
        <v>254375436</v>
      </c>
      <c r="D44" s="192">
        <f ca="1">D37+D38+D39+D41+D42+D43+D40</f>
        <v>225564982</v>
      </c>
    </row>
    <row r="45" spans="1:4" ht="24.75" customHeight="1" x14ac:dyDescent="0.2">
      <c r="A45" s="172" t="s">
        <v>175</v>
      </c>
      <c r="B45" s="205" t="s">
        <v>43</v>
      </c>
      <c r="C45" s="192">
        <f ca="1">C36+C44</f>
        <v>1020497899</v>
      </c>
      <c r="D45" s="192">
        <f ca="1">D36+D44</f>
        <v>1056137075</v>
      </c>
    </row>
    <row r="46" spans="1:4" x14ac:dyDescent="0.2">
      <c r="A46" s="204"/>
      <c r="B46" s="203"/>
      <c r="C46" s="202"/>
      <c r="D46" s="202"/>
    </row>
    <row r="47" spans="1:4" x14ac:dyDescent="0.2">
      <c r="A47" s="185"/>
      <c r="B47" s="179"/>
      <c r="C47" s="180"/>
      <c r="D47" s="180"/>
    </row>
    <row r="48" spans="1:4" ht="13.5" thickBot="1" x14ac:dyDescent="0.25">
      <c r="A48" s="746" t="s">
        <v>44</v>
      </c>
      <c r="B48" s="746"/>
      <c r="C48" s="746"/>
      <c r="D48" s="180"/>
    </row>
    <row r="49" spans="1:4" ht="13.5" thickBot="1" x14ac:dyDescent="0.25">
      <c r="A49" s="188" t="s">
        <v>68</v>
      </c>
      <c r="B49" s="196" t="s">
        <v>76</v>
      </c>
      <c r="C49" s="201" t="s">
        <v>69</v>
      </c>
      <c r="D49" s="200" t="s">
        <v>70</v>
      </c>
    </row>
    <row r="50" spans="1:4" ht="26.25" thickBot="1" x14ac:dyDescent="0.25">
      <c r="A50" s="199" t="s">
        <v>2</v>
      </c>
      <c r="B50" s="198" t="s">
        <v>45</v>
      </c>
      <c r="C50" s="197" t="s">
        <v>568</v>
      </c>
      <c r="D50" s="197" t="s">
        <v>571</v>
      </c>
    </row>
    <row r="51" spans="1:4" ht="13.5" thickBot="1" x14ac:dyDescent="0.25">
      <c r="A51" s="188" t="s">
        <v>1</v>
      </c>
      <c r="B51" s="187" t="s">
        <v>329</v>
      </c>
      <c r="C51" s="186">
        <f>C52+C53+C54+C55+C56+C57</f>
        <v>869172695</v>
      </c>
      <c r="D51" s="186">
        <f>D52+D53+D54+D55+D56+D57</f>
        <v>899723354</v>
      </c>
    </row>
    <row r="52" spans="1:4" ht="13.5" thickBot="1" x14ac:dyDescent="0.25">
      <c r="A52" s="188" t="s">
        <v>3</v>
      </c>
      <c r="B52" s="195" t="s">
        <v>328</v>
      </c>
      <c r="C52" s="194">
        <f>'6.melléklet.Kiadások.Önk.'!D71</f>
        <v>369281089</v>
      </c>
      <c r="D52" s="194">
        <f>'6.melléklet.Kiadások.Önk.'!E71</f>
        <v>427294506</v>
      </c>
    </row>
    <row r="53" spans="1:4" ht="13.5" thickBot="1" x14ac:dyDescent="0.25">
      <c r="A53" s="188" t="s">
        <v>4</v>
      </c>
      <c r="B53" s="190" t="s">
        <v>327</v>
      </c>
      <c r="C53" s="191">
        <f>'6.melléklet.Kiadások.Önk.'!F71</f>
        <v>60719494</v>
      </c>
      <c r="D53" s="191">
        <f>'6.melléklet.Kiadások.Önk.'!G71</f>
        <v>66361207</v>
      </c>
    </row>
    <row r="54" spans="1:4" ht="13.5" thickBot="1" x14ac:dyDescent="0.25">
      <c r="A54" s="188" t="s">
        <v>6</v>
      </c>
      <c r="B54" s="190" t="s">
        <v>326</v>
      </c>
      <c r="C54" s="191">
        <f>'6.melléklet.Kiadások.Önk.'!H71</f>
        <v>263041954</v>
      </c>
      <c r="D54" s="191">
        <f>'6.melléklet.Kiadások.Önk.'!I71</f>
        <v>260107554</v>
      </c>
    </row>
    <row r="55" spans="1:4" ht="13.5" thickBot="1" x14ac:dyDescent="0.25">
      <c r="A55" s="188" t="s">
        <v>8</v>
      </c>
      <c r="B55" s="190" t="s">
        <v>325</v>
      </c>
      <c r="C55" s="191">
        <f>'6.melléklet.Kiadások.Önk.'!J71</f>
        <v>29774000</v>
      </c>
      <c r="D55" s="191">
        <f>'6.melléklet.Kiadások.Önk.'!K71</f>
        <v>29774000</v>
      </c>
    </row>
    <row r="56" spans="1:4" ht="13.5" thickBot="1" x14ac:dyDescent="0.25">
      <c r="A56" s="188" t="s">
        <v>22</v>
      </c>
      <c r="B56" s="190" t="s">
        <v>324</v>
      </c>
      <c r="C56" s="191">
        <f>'6.melléklet.Kiadások.Önk.'!L71+'6.melléklet.Kiadások.Önk.'!N71</f>
        <v>26872000</v>
      </c>
      <c r="D56" s="191">
        <f>'6.melléklet.Kiadások.Önk.'!M71+'6.melléklet.Kiadások.Önk.'!O71</f>
        <v>32557000</v>
      </c>
    </row>
    <row r="57" spans="1:4" ht="13.5" thickBot="1" x14ac:dyDescent="0.25">
      <c r="A57" s="188" t="s">
        <v>24</v>
      </c>
      <c r="B57" s="190" t="s">
        <v>323</v>
      </c>
      <c r="C57" s="191">
        <f>'6.melléklet.Kiadások.Önk.'!X71</f>
        <v>119484158</v>
      </c>
      <c r="D57" s="191">
        <f>'6.melléklet.Kiadások.Önk.'!Y68</f>
        <v>83629087</v>
      </c>
    </row>
    <row r="58" spans="1:4" ht="13.5" thickBot="1" x14ac:dyDescent="0.25">
      <c r="A58" s="188" t="s">
        <v>25</v>
      </c>
      <c r="B58" s="190" t="s">
        <v>51</v>
      </c>
      <c r="C58" s="191"/>
      <c r="D58" s="191"/>
    </row>
    <row r="59" spans="1:4" ht="13.5" thickBot="1" x14ac:dyDescent="0.25">
      <c r="A59" s="188" t="s">
        <v>27</v>
      </c>
      <c r="B59" s="190" t="s">
        <v>52</v>
      </c>
      <c r="C59" s="191"/>
      <c r="D59" s="191"/>
    </row>
    <row r="60" spans="1:4" ht="13.5" thickBot="1" x14ac:dyDescent="0.25">
      <c r="A60" s="188" t="s">
        <v>28</v>
      </c>
      <c r="B60" s="193" t="s">
        <v>322</v>
      </c>
      <c r="C60" s="192">
        <f>C61+C63+C65</f>
        <v>129103481</v>
      </c>
      <c r="D60" s="192">
        <f>D61+D63+D65</f>
        <v>134191998</v>
      </c>
    </row>
    <row r="61" spans="1:4" ht="13.5" thickBot="1" x14ac:dyDescent="0.25">
      <c r="A61" s="188" t="s">
        <v>29</v>
      </c>
      <c r="B61" s="190" t="s">
        <v>321</v>
      </c>
      <c r="C61" s="191">
        <f>'6.melléklet.Kiadások.Önk.'!T71</f>
        <v>121817481</v>
      </c>
      <c r="D61" s="191">
        <f>'6.melléklet.Kiadások.Önk.'!U71</f>
        <v>120690998</v>
      </c>
    </row>
    <row r="62" spans="1:4" ht="13.5" thickBot="1" x14ac:dyDescent="0.25">
      <c r="A62" s="188" t="s">
        <v>31</v>
      </c>
      <c r="B62" s="190" t="s">
        <v>54</v>
      </c>
      <c r="C62" s="191"/>
      <c r="D62" s="191"/>
    </row>
    <row r="63" spans="1:4" ht="13.5" thickBot="1" x14ac:dyDescent="0.25">
      <c r="A63" s="188" t="s">
        <v>32</v>
      </c>
      <c r="B63" s="190" t="s">
        <v>55</v>
      </c>
      <c r="C63" s="191">
        <f>'6.melléklet.Kiadások.Önk.'!V71</f>
        <v>2286000</v>
      </c>
      <c r="D63" s="191">
        <f>'6.melléklet.Kiadások.Önk.'!W71</f>
        <v>8501000</v>
      </c>
    </row>
    <row r="64" spans="1:4" ht="13.5" thickBot="1" x14ac:dyDescent="0.25">
      <c r="A64" s="188" t="s">
        <v>35</v>
      </c>
      <c r="B64" s="190" t="s">
        <v>320</v>
      </c>
      <c r="C64" s="191"/>
      <c r="D64" s="191"/>
    </row>
    <row r="65" spans="1:4" ht="13.5" thickBot="1" x14ac:dyDescent="0.25">
      <c r="A65" s="188" t="s">
        <v>37</v>
      </c>
      <c r="B65" s="190" t="s">
        <v>56</v>
      </c>
      <c r="C65" s="191">
        <f>C66</f>
        <v>5000000</v>
      </c>
      <c r="D65" s="191">
        <f>D66</f>
        <v>5000000</v>
      </c>
    </row>
    <row r="66" spans="1:4" ht="13.5" thickBot="1" x14ac:dyDescent="0.25">
      <c r="A66" s="188" t="s">
        <v>72</v>
      </c>
      <c r="B66" s="190" t="s">
        <v>57</v>
      </c>
      <c r="C66" s="191">
        <f>'6.melléklet.Kiadások.Önk.'!AB71</f>
        <v>5000000</v>
      </c>
      <c r="D66" s="191">
        <f>'6.melléklet.Kiadások.Önk.'!AC71</f>
        <v>5000000</v>
      </c>
    </row>
    <row r="67" spans="1:4" ht="13.5" thickBot="1" x14ac:dyDescent="0.25">
      <c r="A67" s="188" t="s">
        <v>40</v>
      </c>
      <c r="B67" s="190" t="s">
        <v>58</v>
      </c>
      <c r="C67" s="191"/>
      <c r="D67" s="191"/>
    </row>
    <row r="68" spans="1:4" ht="13.5" thickBot="1" x14ac:dyDescent="0.25">
      <c r="A68" s="188" t="s">
        <v>42</v>
      </c>
      <c r="B68" s="193" t="s">
        <v>319</v>
      </c>
      <c r="C68" s="192">
        <f>C51+C60</f>
        <v>998276176</v>
      </c>
      <c r="D68" s="192">
        <f>D51+D60</f>
        <v>1033915352</v>
      </c>
    </row>
    <row r="69" spans="1:4" ht="13.5" thickBot="1" x14ac:dyDescent="0.25">
      <c r="A69" s="188" t="s">
        <v>163</v>
      </c>
      <c r="B69" s="193" t="s">
        <v>318</v>
      </c>
      <c r="C69" s="192">
        <f>C70</f>
        <v>22221723</v>
      </c>
      <c r="D69" s="192">
        <f>D70</f>
        <v>22221723</v>
      </c>
    </row>
    <row r="70" spans="1:4" ht="13.5" thickBot="1" x14ac:dyDescent="0.25">
      <c r="A70" s="188" t="s">
        <v>164</v>
      </c>
      <c r="B70" s="190" t="s">
        <v>317</v>
      </c>
      <c r="C70" s="191">
        <f>'6.melléklet.Kiadások.Önk.'!Z71</f>
        <v>22221723</v>
      </c>
      <c r="D70" s="191">
        <f>'6.melléklet.Kiadások.Önk.'!AA71</f>
        <v>22221723</v>
      </c>
    </row>
    <row r="71" spans="1:4" ht="13.5" thickBot="1" x14ac:dyDescent="0.25">
      <c r="A71" s="188" t="s">
        <v>165</v>
      </c>
      <c r="B71" s="193" t="s">
        <v>60</v>
      </c>
      <c r="C71" s="192"/>
      <c r="D71" s="191"/>
    </row>
    <row r="72" spans="1:4" ht="13.5" thickBot="1" x14ac:dyDescent="0.25">
      <c r="A72" s="188" t="s">
        <v>166</v>
      </c>
      <c r="B72" s="193" t="s">
        <v>61</v>
      </c>
      <c r="C72" s="192"/>
      <c r="D72" s="191"/>
    </row>
    <row r="73" spans="1:4" ht="13.5" thickBot="1" x14ac:dyDescent="0.25">
      <c r="A73" s="188" t="s">
        <v>167</v>
      </c>
      <c r="B73" s="193" t="s">
        <v>62</v>
      </c>
      <c r="C73" s="192"/>
      <c r="D73" s="191"/>
    </row>
    <row r="74" spans="1:4" ht="13.5" thickBot="1" x14ac:dyDescent="0.25">
      <c r="A74" s="188" t="s">
        <v>168</v>
      </c>
      <c r="B74" s="189" t="s">
        <v>63</v>
      </c>
      <c r="C74" s="173">
        <f>C69+C71+C72+C73</f>
        <v>22221723</v>
      </c>
      <c r="D74" s="173">
        <f>D69+D71+D72+D73</f>
        <v>22221723</v>
      </c>
    </row>
    <row r="75" spans="1:4" ht="13.5" thickBot="1" x14ac:dyDescent="0.25">
      <c r="A75" s="188" t="s">
        <v>169</v>
      </c>
      <c r="B75" s="187" t="s">
        <v>64</v>
      </c>
      <c r="C75" s="186">
        <f>C68+C74</f>
        <v>1020497899</v>
      </c>
      <c r="D75" s="186">
        <f>D68+D74</f>
        <v>1056137075</v>
      </c>
    </row>
    <row r="76" spans="1:4" x14ac:dyDescent="0.2">
      <c r="A76" s="185"/>
      <c r="B76" s="179"/>
      <c r="C76" s="180"/>
      <c r="D76" s="180"/>
    </row>
    <row r="77" spans="1:4" x14ac:dyDescent="0.2">
      <c r="A77" s="747" t="s">
        <v>573</v>
      </c>
      <c r="B77" s="747"/>
      <c r="C77" s="747"/>
      <c r="D77" s="184"/>
    </row>
    <row r="78" spans="1:4" ht="13.5" thickBot="1" x14ac:dyDescent="0.25">
      <c r="A78" s="183"/>
      <c r="B78" s="182"/>
      <c r="C78" s="181"/>
      <c r="D78" s="180"/>
    </row>
    <row r="79" spans="1:4" ht="42" customHeight="1" x14ac:dyDescent="0.2">
      <c r="A79" s="178" t="s">
        <v>1</v>
      </c>
      <c r="B79" s="177" t="s">
        <v>316</v>
      </c>
      <c r="C79" s="176">
        <f ca="1">C36-C68</f>
        <v>-232153713</v>
      </c>
      <c r="D79" s="176">
        <f ca="1">D36-D68</f>
        <v>-203343259</v>
      </c>
    </row>
    <row r="80" spans="1:4" ht="45.75" customHeight="1" x14ac:dyDescent="0.2">
      <c r="A80" s="175" t="s">
        <v>3</v>
      </c>
      <c r="B80" s="174" t="s">
        <v>315</v>
      </c>
      <c r="C80" s="173">
        <f ca="1">C44-C74</f>
        <v>232153713</v>
      </c>
      <c r="D80" s="173">
        <f ca="1">D44-D74</f>
        <v>203343259</v>
      </c>
    </row>
    <row r="81" spans="1:4" x14ac:dyDescent="0.2">
      <c r="A81" s="172" t="s">
        <v>4</v>
      </c>
      <c r="B81" s="171" t="s">
        <v>314</v>
      </c>
      <c r="C81" s="171"/>
      <c r="D81" s="171"/>
    </row>
  </sheetData>
  <mergeCells count="5">
    <mergeCell ref="A48:C48"/>
    <mergeCell ref="A77:C77"/>
    <mergeCell ref="A5:D5"/>
    <mergeCell ref="B1:L1"/>
    <mergeCell ref="B3:D3"/>
  </mergeCells>
  <pageMargins left="0.7" right="0.7" top="0.75" bottom="0.75" header="0.3" footer="0.3"/>
  <pageSetup paperSize="9" scale="71" fitToHeight="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09ABF-C323-4F76-9073-65FB9BA4F567}">
  <sheetPr>
    <tabColor rgb="FFFFC000"/>
  </sheetPr>
  <dimension ref="A1:R20"/>
  <sheetViews>
    <sheetView view="pageLayout" workbookViewId="0">
      <selection sqref="A1:I1"/>
    </sheetView>
  </sheetViews>
  <sheetFormatPr defaultRowHeight="12.75" x14ac:dyDescent="0.2"/>
  <cols>
    <col min="1" max="1" width="4.7109375" style="261" customWidth="1"/>
    <col min="2" max="2" width="27" style="547" customWidth="1"/>
    <col min="3" max="3" width="11.5703125" style="261" customWidth="1"/>
    <col min="4" max="4" width="12.85546875" style="261" customWidth="1"/>
    <col min="5" max="5" width="14.7109375" style="261" customWidth="1"/>
    <col min="6" max="6" width="15.28515625" style="261" customWidth="1"/>
    <col min="7" max="7" width="13" style="261" customWidth="1"/>
    <col min="8" max="8" width="14.85546875" style="261" customWidth="1"/>
    <col min="9" max="9" width="10.140625" style="261" customWidth="1"/>
    <col min="10" max="16384" width="9.140625" style="261"/>
  </cols>
  <sheetData>
    <row r="1" spans="1:18" s="218" customFormat="1" x14ac:dyDescent="0.2">
      <c r="A1" s="812" t="s">
        <v>591</v>
      </c>
      <c r="B1" s="813"/>
      <c r="C1" s="813"/>
      <c r="D1" s="813"/>
      <c r="E1" s="813"/>
      <c r="F1" s="813"/>
      <c r="G1" s="813"/>
      <c r="H1" s="813"/>
      <c r="I1" s="813"/>
      <c r="J1" s="217"/>
      <c r="K1" s="217"/>
      <c r="L1" s="217"/>
      <c r="M1" s="217"/>
      <c r="N1" s="217"/>
      <c r="O1" s="217"/>
      <c r="P1" s="217"/>
      <c r="Q1" s="217"/>
      <c r="R1" s="217"/>
    </row>
    <row r="2" spans="1:18" s="218" customFormat="1" ht="12" x14ac:dyDescent="0.2">
      <c r="A2" s="219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1"/>
    </row>
    <row r="3" spans="1:18" s="218" customFormat="1" x14ac:dyDescent="0.2">
      <c r="A3" s="814" t="s">
        <v>549</v>
      </c>
      <c r="B3" s="815"/>
      <c r="C3" s="815"/>
      <c r="D3" s="815"/>
      <c r="E3" s="815"/>
      <c r="F3" s="815"/>
      <c r="G3" s="815"/>
      <c r="H3" s="815"/>
      <c r="I3" s="815"/>
      <c r="J3" s="217"/>
      <c r="K3" s="217"/>
      <c r="L3" s="217"/>
      <c r="M3" s="217"/>
      <c r="N3" s="217"/>
      <c r="O3" s="217"/>
      <c r="P3" s="217"/>
      <c r="Q3" s="217"/>
      <c r="R3" s="217"/>
    </row>
    <row r="4" spans="1:18" s="218" customFormat="1" ht="12" x14ac:dyDescent="0.2">
      <c r="A4" s="223"/>
      <c r="B4" s="224"/>
      <c r="C4" s="224"/>
      <c r="D4" s="224"/>
      <c r="E4" s="224"/>
      <c r="F4" s="224"/>
      <c r="G4" s="224"/>
      <c r="H4" s="224"/>
      <c r="I4" s="224"/>
      <c r="J4" s="225"/>
      <c r="K4" s="221"/>
      <c r="L4" s="221"/>
      <c r="M4" s="221"/>
      <c r="N4" s="221"/>
      <c r="O4" s="221"/>
      <c r="P4" s="221"/>
      <c r="Q4" s="221"/>
      <c r="R4" s="221"/>
    </row>
    <row r="5" spans="1:18" s="218" customFormat="1" ht="33" customHeight="1" x14ac:dyDescent="0.25">
      <c r="A5" s="816" t="s">
        <v>511</v>
      </c>
      <c r="B5" s="817"/>
      <c r="C5" s="817"/>
      <c r="D5" s="817"/>
      <c r="E5" s="817"/>
      <c r="F5" s="817"/>
      <c r="G5" s="817"/>
      <c r="H5" s="817"/>
      <c r="I5" s="817"/>
      <c r="J5" s="227"/>
      <c r="K5" s="227"/>
      <c r="L5" s="227"/>
      <c r="M5" s="227"/>
      <c r="N5" s="227"/>
      <c r="O5" s="227"/>
      <c r="P5" s="227"/>
      <c r="Q5" s="227"/>
      <c r="R5" s="227"/>
    </row>
    <row r="6" spans="1:18" s="218" customFormat="1" ht="12" x14ac:dyDescent="0.2">
      <c r="A6" s="223"/>
      <c r="B6" s="224"/>
      <c r="C6" s="224"/>
      <c r="D6" s="224"/>
      <c r="E6" s="224"/>
      <c r="F6" s="224"/>
      <c r="G6" s="224"/>
      <c r="H6" s="224"/>
      <c r="I6" s="224"/>
      <c r="J6" s="225"/>
      <c r="K6" s="221"/>
      <c r="L6" s="221"/>
      <c r="M6" s="221"/>
      <c r="N6" s="221"/>
      <c r="O6" s="221"/>
      <c r="P6" s="221"/>
      <c r="Q6" s="221"/>
      <c r="R6" s="221"/>
    </row>
    <row r="7" spans="1:18" s="218" customFormat="1" ht="13.5" thickBot="1" x14ac:dyDescent="0.25">
      <c r="A7" s="807" t="s">
        <v>510</v>
      </c>
      <c r="B7" s="807"/>
      <c r="C7" s="807"/>
      <c r="D7" s="807"/>
      <c r="E7" s="807"/>
      <c r="F7" s="807"/>
      <c r="G7" s="807"/>
      <c r="H7" s="807"/>
      <c r="I7" s="217"/>
      <c r="J7" s="217"/>
      <c r="K7" s="217"/>
      <c r="L7" s="217"/>
      <c r="M7" s="217"/>
      <c r="N7" s="217"/>
      <c r="O7" s="217"/>
      <c r="P7" s="217"/>
      <c r="Q7" s="217"/>
      <c r="R7" s="217"/>
    </row>
    <row r="8" spans="1:18" x14ac:dyDescent="0.2">
      <c r="A8" s="808" t="s">
        <v>378</v>
      </c>
      <c r="B8" s="810" t="s">
        <v>509</v>
      </c>
      <c r="C8" s="810"/>
      <c r="D8" s="810"/>
      <c r="E8" s="810"/>
      <c r="F8" s="810"/>
      <c r="G8" s="810"/>
      <c r="H8" s="811"/>
    </row>
    <row r="9" spans="1:18" ht="57.75" customHeight="1" x14ac:dyDescent="0.2">
      <c r="A9" s="809"/>
      <c r="B9" s="555" t="s">
        <v>508</v>
      </c>
      <c r="C9" s="554" t="s">
        <v>507</v>
      </c>
      <c r="D9" s="554" t="s">
        <v>506</v>
      </c>
      <c r="E9" s="554" t="s">
        <v>505</v>
      </c>
      <c r="F9" s="554" t="s">
        <v>504</v>
      </c>
      <c r="G9" s="554" t="s">
        <v>146</v>
      </c>
      <c r="H9" s="553" t="s">
        <v>100</v>
      </c>
    </row>
    <row r="10" spans="1:18" ht="31.35" customHeight="1" x14ac:dyDescent="0.2">
      <c r="A10" s="552">
        <v>1</v>
      </c>
      <c r="B10" s="331" t="s">
        <v>503</v>
      </c>
      <c r="C10" s="247">
        <v>0</v>
      </c>
      <c r="D10" s="247">
        <v>3</v>
      </c>
      <c r="E10" s="247">
        <v>5</v>
      </c>
      <c r="F10" s="247">
        <v>68</v>
      </c>
      <c r="G10" s="247">
        <v>1</v>
      </c>
      <c r="H10" s="244">
        <f>SUM(C10:G10)</f>
        <v>77</v>
      </c>
    </row>
    <row r="11" spans="1:18" ht="31.35" customHeight="1" x14ac:dyDescent="0.2">
      <c r="A11" s="552">
        <v>2</v>
      </c>
      <c r="B11" s="331" t="s">
        <v>348</v>
      </c>
      <c r="C11" s="247">
        <v>19</v>
      </c>
      <c r="D11" s="247"/>
      <c r="E11" s="247"/>
      <c r="F11" s="247"/>
      <c r="G11" s="247"/>
      <c r="H11" s="244">
        <f>SUM(C11:G11)</f>
        <v>19</v>
      </c>
    </row>
    <row r="12" spans="1:18" ht="31.35" customHeight="1" x14ac:dyDescent="0.2">
      <c r="A12" s="552">
        <v>3</v>
      </c>
      <c r="B12" s="331" t="s">
        <v>349</v>
      </c>
      <c r="C12" s="247"/>
      <c r="D12" s="247">
        <v>27</v>
      </c>
      <c r="E12" s="247"/>
      <c r="F12" s="247"/>
      <c r="G12" s="247"/>
      <c r="H12" s="244">
        <f>SUM(C12:G12)</f>
        <v>27</v>
      </c>
    </row>
    <row r="13" spans="1:18" ht="31.35" customHeight="1" x14ac:dyDescent="0.2">
      <c r="A13" s="552">
        <v>4</v>
      </c>
      <c r="B13" s="331" t="s">
        <v>350</v>
      </c>
      <c r="C13" s="247"/>
      <c r="D13" s="247">
        <v>35</v>
      </c>
      <c r="E13" s="247"/>
      <c r="F13" s="247"/>
      <c r="G13" s="247"/>
      <c r="H13" s="244">
        <f>SUM(C13:G13)</f>
        <v>35</v>
      </c>
    </row>
    <row r="14" spans="1:18" ht="13.5" thickBot="1" x14ac:dyDescent="0.25">
      <c r="A14" s="551">
        <v>5</v>
      </c>
      <c r="B14" s="550" t="s">
        <v>502</v>
      </c>
      <c r="C14" s="249">
        <f t="shared" ref="C14:H14" si="0">C10+C11+C12+C13</f>
        <v>19</v>
      </c>
      <c r="D14" s="249">
        <f t="shared" si="0"/>
        <v>65</v>
      </c>
      <c r="E14" s="249">
        <f t="shared" si="0"/>
        <v>5</v>
      </c>
      <c r="F14" s="249">
        <f t="shared" si="0"/>
        <v>68</v>
      </c>
      <c r="G14" s="249">
        <f t="shared" si="0"/>
        <v>1</v>
      </c>
      <c r="H14" s="250">
        <f t="shared" si="0"/>
        <v>158</v>
      </c>
    </row>
    <row r="15" spans="1:18" x14ac:dyDescent="0.2">
      <c r="A15" s="256"/>
      <c r="B15" s="549"/>
      <c r="C15" s="256"/>
      <c r="D15" s="256"/>
      <c r="E15" s="256"/>
      <c r="F15" s="256"/>
      <c r="G15" s="256"/>
      <c r="H15" s="256"/>
    </row>
    <row r="16" spans="1:18" ht="25.5" x14ac:dyDescent="0.2">
      <c r="A16" s="256"/>
      <c r="B16" s="331" t="s">
        <v>501</v>
      </c>
      <c r="C16" s="801"/>
      <c r="D16" s="802"/>
      <c r="E16" s="802"/>
      <c r="F16" s="802"/>
      <c r="G16" s="803"/>
      <c r="H16" s="247">
        <v>7</v>
      </c>
    </row>
    <row r="17" spans="1:8" x14ac:dyDescent="0.2">
      <c r="A17" s="256"/>
      <c r="B17" s="331" t="s">
        <v>500</v>
      </c>
      <c r="C17" s="804"/>
      <c r="D17" s="805"/>
      <c r="E17" s="805"/>
      <c r="F17" s="805"/>
      <c r="G17" s="806"/>
      <c r="H17" s="247">
        <v>4</v>
      </c>
    </row>
    <row r="18" spans="1:8" x14ac:dyDescent="0.2">
      <c r="A18" s="256"/>
      <c r="B18" s="549"/>
      <c r="C18" s="256"/>
      <c r="D18" s="256"/>
      <c r="E18" s="256"/>
      <c r="F18" s="256"/>
      <c r="G18" s="256"/>
      <c r="H18" s="256"/>
    </row>
    <row r="19" spans="1:8" x14ac:dyDescent="0.2">
      <c r="A19" s="256"/>
      <c r="B19" s="549"/>
      <c r="C19" s="256"/>
      <c r="D19" s="256"/>
      <c r="E19" s="256"/>
      <c r="F19" s="256"/>
      <c r="G19" s="256"/>
      <c r="H19" s="256"/>
    </row>
    <row r="20" spans="1:8" x14ac:dyDescent="0.2">
      <c r="B20" s="549"/>
      <c r="C20" s="256"/>
      <c r="D20" s="548"/>
      <c r="E20" s="256"/>
      <c r="F20" s="256"/>
      <c r="G20" s="256"/>
      <c r="H20" s="256"/>
    </row>
  </sheetData>
  <mergeCells count="7">
    <mergeCell ref="C16:G17"/>
    <mergeCell ref="A7:H7"/>
    <mergeCell ref="A8:A9"/>
    <mergeCell ref="B8:H8"/>
    <mergeCell ref="A1:I1"/>
    <mergeCell ref="A3:I3"/>
    <mergeCell ref="A5:I5"/>
  </mergeCells>
  <printOptions horizontalCentered="1"/>
  <pageMargins left="0.74803149606299213" right="0.74803149606299213" top="0.23622047244094491" bottom="0.98425196850393704" header="0.51181102362204722" footer="0.51181102362204722"/>
  <pageSetup paperSize="9" scale="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C23A6-5CD9-4299-B1B9-7D887AC7DD77}">
  <sheetPr>
    <tabColor rgb="FFFFC000"/>
  </sheetPr>
  <dimension ref="A1:R119"/>
  <sheetViews>
    <sheetView zoomScale="112" zoomScaleNormal="112" workbookViewId="0">
      <selection sqref="A1:D1"/>
    </sheetView>
  </sheetViews>
  <sheetFormatPr defaultRowHeight="12.75" x14ac:dyDescent="0.2"/>
  <cols>
    <col min="1" max="1" width="4.85546875" style="234" customWidth="1"/>
    <col min="2" max="2" width="47.7109375" style="296" customWidth="1"/>
    <col min="3" max="3" width="13.42578125" style="275" customWidth="1"/>
    <col min="4" max="4" width="11" style="275" customWidth="1"/>
    <col min="5" max="5" width="11.7109375" style="275" customWidth="1"/>
    <col min="6" max="6" width="9.140625" style="234"/>
    <col min="7" max="7" width="19.5703125" style="234" customWidth="1"/>
    <col min="8" max="16384" width="9.140625" style="234"/>
  </cols>
  <sheetData>
    <row r="1" spans="1:18" s="218" customFormat="1" ht="27.75" customHeight="1" x14ac:dyDescent="0.2">
      <c r="A1" s="812" t="s">
        <v>592</v>
      </c>
      <c r="B1" s="813"/>
      <c r="C1" s="813"/>
      <c r="D1" s="813"/>
      <c r="E1" s="216"/>
      <c r="F1" s="216"/>
      <c r="G1" s="216"/>
      <c r="H1" s="216"/>
      <c r="I1" s="216"/>
      <c r="J1" s="217"/>
      <c r="K1" s="217"/>
      <c r="L1" s="217"/>
      <c r="M1" s="217"/>
      <c r="N1" s="217"/>
      <c r="O1" s="217"/>
      <c r="P1" s="217"/>
      <c r="Q1" s="217"/>
      <c r="R1" s="217"/>
    </row>
    <row r="2" spans="1:18" s="218" customFormat="1" ht="12" x14ac:dyDescent="0.2">
      <c r="A2" s="219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1"/>
    </row>
    <row r="3" spans="1:18" s="218" customFormat="1" ht="28.5" customHeight="1" x14ac:dyDescent="0.2">
      <c r="A3" s="814" t="s">
        <v>550</v>
      </c>
      <c r="B3" s="815"/>
      <c r="C3" s="815"/>
      <c r="D3" s="815"/>
      <c r="E3" s="222"/>
      <c r="F3" s="222"/>
      <c r="G3" s="222"/>
      <c r="H3" s="222"/>
      <c r="I3" s="222"/>
      <c r="J3" s="217"/>
      <c r="K3" s="217"/>
      <c r="L3" s="217"/>
      <c r="M3" s="217"/>
      <c r="N3" s="217"/>
      <c r="O3" s="217"/>
      <c r="P3" s="217"/>
      <c r="Q3" s="217"/>
      <c r="R3" s="217"/>
    </row>
    <row r="4" spans="1:18" s="218" customFormat="1" ht="12" x14ac:dyDescent="0.2">
      <c r="A4" s="223"/>
      <c r="B4" s="224"/>
      <c r="C4" s="224"/>
      <c r="D4" s="224"/>
      <c r="E4" s="224"/>
      <c r="F4" s="224"/>
      <c r="G4" s="224"/>
      <c r="H4" s="224"/>
      <c r="I4" s="224"/>
      <c r="J4" s="225"/>
      <c r="K4" s="221"/>
      <c r="L4" s="221"/>
      <c r="M4" s="221"/>
      <c r="N4" s="221"/>
      <c r="O4" s="221"/>
      <c r="P4" s="221"/>
      <c r="Q4" s="221"/>
      <c r="R4" s="221"/>
    </row>
    <row r="5" spans="1:18" s="218" customFormat="1" ht="33" customHeight="1" x14ac:dyDescent="0.25">
      <c r="A5" s="816" t="s">
        <v>338</v>
      </c>
      <c r="B5" s="817"/>
      <c r="C5" s="817"/>
      <c r="D5" s="817"/>
      <c r="E5" s="226"/>
      <c r="F5" s="226"/>
      <c r="G5" s="226"/>
      <c r="H5" s="226"/>
      <c r="I5" s="226"/>
      <c r="J5" s="227"/>
      <c r="K5" s="227"/>
      <c r="L5" s="227"/>
      <c r="M5" s="227"/>
      <c r="N5" s="227"/>
      <c r="O5" s="227"/>
      <c r="P5" s="227"/>
      <c r="Q5" s="227"/>
      <c r="R5" s="227"/>
    </row>
    <row r="6" spans="1:18" s="218" customFormat="1" ht="12" x14ac:dyDescent="0.2">
      <c r="A6" s="223"/>
      <c r="B6" s="224"/>
      <c r="C6" s="224"/>
      <c r="D6" s="224"/>
      <c r="E6" s="224"/>
      <c r="F6" s="224"/>
      <c r="G6" s="224"/>
      <c r="H6" s="224"/>
      <c r="I6" s="224"/>
      <c r="J6" s="225"/>
      <c r="K6" s="221"/>
      <c r="L6" s="221"/>
      <c r="M6" s="221"/>
      <c r="N6" s="221"/>
      <c r="O6" s="221"/>
      <c r="P6" s="221"/>
      <c r="Q6" s="221"/>
      <c r="R6" s="221"/>
    </row>
    <row r="7" spans="1:18" s="218" customFormat="1" ht="13.5" thickBot="1" x14ac:dyDescent="0.25">
      <c r="A7" s="228"/>
      <c r="B7" s="228"/>
      <c r="C7" s="807" t="s">
        <v>513</v>
      </c>
      <c r="D7" s="807"/>
      <c r="E7" s="229"/>
      <c r="F7" s="229"/>
      <c r="G7" s="229"/>
      <c r="H7" s="229"/>
      <c r="I7" s="217"/>
      <c r="J7" s="217"/>
      <c r="K7" s="217"/>
      <c r="L7" s="217"/>
      <c r="M7" s="217"/>
      <c r="N7" s="217"/>
      <c r="O7" s="217"/>
      <c r="P7" s="217"/>
      <c r="Q7" s="217"/>
      <c r="R7" s="217"/>
    </row>
    <row r="8" spans="1:18" ht="26.25" customHeight="1" x14ac:dyDescent="0.2">
      <c r="A8" s="230" t="s">
        <v>82</v>
      </c>
      <c r="B8" s="575" t="s">
        <v>340</v>
      </c>
      <c r="C8" s="231" t="s">
        <v>341</v>
      </c>
      <c r="D8" s="232" t="s">
        <v>342</v>
      </c>
      <c r="E8" s="233"/>
    </row>
    <row r="9" spans="1:18" ht="27" customHeight="1" x14ac:dyDescent="0.2">
      <c r="A9" s="567" t="s">
        <v>217</v>
      </c>
      <c r="B9" s="571" t="s">
        <v>68</v>
      </c>
      <c r="C9" s="566" t="s">
        <v>76</v>
      </c>
      <c r="D9" s="568" t="s">
        <v>69</v>
      </c>
      <c r="E9" s="233"/>
    </row>
    <row r="10" spans="1:18" x14ac:dyDescent="0.2">
      <c r="A10" s="235" t="s">
        <v>1</v>
      </c>
      <c r="B10" s="236" t="s">
        <v>514</v>
      </c>
      <c r="C10" s="576">
        <f>793750+564700</f>
        <v>1358450</v>
      </c>
      <c r="D10" s="577">
        <f>C10</f>
        <v>1358450</v>
      </c>
      <c r="E10" s="233"/>
      <c r="F10" s="237"/>
      <c r="G10" s="238"/>
    </row>
    <row r="11" spans="1:18" ht="30" x14ac:dyDescent="0.2">
      <c r="A11" s="235" t="s">
        <v>3</v>
      </c>
      <c r="B11" s="240" t="s">
        <v>343</v>
      </c>
      <c r="C11" s="578">
        <v>9360550</v>
      </c>
      <c r="D11" s="569">
        <f>C11-5715000</f>
        <v>3645550</v>
      </c>
      <c r="E11" s="233"/>
      <c r="F11" s="237"/>
      <c r="G11" s="238"/>
    </row>
    <row r="12" spans="1:18" x14ac:dyDescent="0.2">
      <c r="A12" s="235" t="s">
        <v>4</v>
      </c>
      <c r="B12" s="241" t="s">
        <v>515</v>
      </c>
      <c r="C12" s="578">
        <v>111098481</v>
      </c>
      <c r="D12" s="579">
        <f t="shared" ref="D12" si="0">C12</f>
        <v>111098481</v>
      </c>
      <c r="E12" s="233"/>
      <c r="F12" s="237"/>
      <c r="G12" s="238"/>
    </row>
    <row r="13" spans="1:18" x14ac:dyDescent="0.2">
      <c r="A13" s="235" t="s">
        <v>6</v>
      </c>
      <c r="B13" s="241" t="s">
        <v>516</v>
      </c>
      <c r="C13" s="578"/>
      <c r="D13" s="580">
        <f>'7.PMH kiad'!O11</f>
        <v>458015</v>
      </c>
      <c r="E13" s="233"/>
      <c r="F13" s="237"/>
      <c r="G13" s="238"/>
    </row>
    <row r="14" spans="1:18" x14ac:dyDescent="0.2">
      <c r="A14" s="235" t="s">
        <v>8</v>
      </c>
      <c r="B14" s="241" t="s">
        <v>517</v>
      </c>
      <c r="C14" s="578"/>
      <c r="D14" s="580">
        <f>'8.ESZI kiad'!O14</f>
        <v>2251412</v>
      </c>
      <c r="E14" s="233"/>
      <c r="F14" s="237"/>
      <c r="G14" s="238"/>
    </row>
    <row r="15" spans="1:18" x14ac:dyDescent="0.2">
      <c r="A15" s="235" t="s">
        <v>22</v>
      </c>
      <c r="B15" s="236" t="s">
        <v>519</v>
      </c>
      <c r="C15" s="576"/>
      <c r="D15" s="577">
        <f>'9. Óvoda kiad'!O13</f>
        <v>1879090</v>
      </c>
      <c r="E15" s="233"/>
      <c r="F15" s="237"/>
      <c r="G15" s="238"/>
    </row>
    <row r="16" spans="1:18" x14ac:dyDescent="0.2">
      <c r="A16" s="572" t="s">
        <v>24</v>
      </c>
      <c r="B16" s="573" t="s">
        <v>79</v>
      </c>
      <c r="C16" s="581">
        <f>SUM(C10:C15)</f>
        <v>121817481</v>
      </c>
      <c r="D16" s="730">
        <f>SUM(D10:D15)</f>
        <v>120690998</v>
      </c>
      <c r="E16" s="233"/>
      <c r="F16" s="237"/>
      <c r="G16" s="238"/>
    </row>
    <row r="17" spans="1:7" x14ac:dyDescent="0.2">
      <c r="A17" s="572" t="s">
        <v>25</v>
      </c>
      <c r="B17" s="236"/>
      <c r="C17" s="557"/>
      <c r="D17" s="558"/>
      <c r="E17" s="233"/>
      <c r="F17" s="237"/>
      <c r="G17" s="238"/>
    </row>
    <row r="18" spans="1:7" ht="14.25" x14ac:dyDescent="0.2">
      <c r="A18" s="572" t="s">
        <v>27</v>
      </c>
      <c r="B18" s="574" t="s">
        <v>520</v>
      </c>
      <c r="C18" s="557"/>
      <c r="D18" s="558"/>
      <c r="E18" s="233"/>
      <c r="F18" s="237"/>
      <c r="G18" s="238"/>
    </row>
    <row r="19" spans="1:7" x14ac:dyDescent="0.2">
      <c r="A19" s="572" t="s">
        <v>28</v>
      </c>
      <c r="B19" s="236" t="s">
        <v>521</v>
      </c>
      <c r="C19" s="576">
        <v>2286000</v>
      </c>
      <c r="D19" s="577">
        <f>2786000+5715000</f>
        <v>8501000</v>
      </c>
      <c r="E19" s="233"/>
      <c r="F19" s="237"/>
      <c r="G19" s="238"/>
    </row>
    <row r="20" spans="1:7" x14ac:dyDescent="0.2">
      <c r="A20" s="572" t="s">
        <v>29</v>
      </c>
      <c r="B20" s="573" t="s">
        <v>79</v>
      </c>
      <c r="C20" s="581">
        <f>SUM(C19)</f>
        <v>2286000</v>
      </c>
      <c r="D20" s="730">
        <f>SUM(D19)</f>
        <v>8501000</v>
      </c>
      <c r="E20" s="233"/>
      <c r="F20" s="237"/>
      <c r="G20" s="238"/>
    </row>
    <row r="21" spans="1:7" x14ac:dyDescent="0.2">
      <c r="A21" s="572" t="s">
        <v>31</v>
      </c>
      <c r="B21" s="236"/>
      <c r="C21" s="576"/>
      <c r="D21" s="577"/>
      <c r="E21" s="233"/>
      <c r="F21" s="237"/>
      <c r="G21" s="238"/>
    </row>
    <row r="22" spans="1:7" x14ac:dyDescent="0.2">
      <c r="A22" s="572" t="s">
        <v>72</v>
      </c>
      <c r="B22" s="236"/>
      <c r="C22" s="576"/>
      <c r="D22" s="577"/>
      <c r="E22" s="233"/>
      <c r="F22" s="237"/>
      <c r="G22" s="238"/>
    </row>
    <row r="23" spans="1:7" ht="13.5" thickBot="1" x14ac:dyDescent="0.25">
      <c r="A23" s="732" t="s">
        <v>40</v>
      </c>
      <c r="B23" s="570" t="s">
        <v>522</v>
      </c>
      <c r="C23" s="582">
        <f>C16+C20</f>
        <v>124103481</v>
      </c>
      <c r="D23" s="731">
        <f>D16+D20</f>
        <v>129191998</v>
      </c>
      <c r="E23" s="245"/>
      <c r="F23" s="246"/>
      <c r="G23" s="238"/>
    </row>
    <row r="24" spans="1:7" x14ac:dyDescent="0.2">
      <c r="A24" s="251"/>
      <c r="B24" s="252"/>
      <c r="C24" s="253"/>
      <c r="D24" s="233"/>
      <c r="E24" s="233"/>
    </row>
    <row r="25" spans="1:7" x14ac:dyDescent="0.2">
      <c r="A25" s="254"/>
      <c r="B25" s="255"/>
      <c r="C25" s="256"/>
      <c r="D25" s="256"/>
      <c r="E25" s="245"/>
    </row>
    <row r="26" spans="1:7" x14ac:dyDescent="0.2">
      <c r="A26" s="254"/>
      <c r="B26" s="255"/>
      <c r="C26" s="256"/>
      <c r="D26" s="256"/>
      <c r="E26" s="245"/>
    </row>
    <row r="27" spans="1:7" x14ac:dyDescent="0.2">
      <c r="A27" s="254"/>
      <c r="B27" s="255"/>
      <c r="C27" s="256"/>
      <c r="D27" s="256"/>
      <c r="E27" s="245"/>
    </row>
    <row r="28" spans="1:7" x14ac:dyDescent="0.2">
      <c r="A28" s="254"/>
      <c r="B28" s="255"/>
      <c r="C28" s="256"/>
      <c r="D28" s="256"/>
      <c r="E28" s="245"/>
    </row>
    <row r="29" spans="1:7" ht="18" customHeight="1" x14ac:dyDescent="0.2">
      <c r="A29" s="254"/>
      <c r="B29" s="257"/>
      <c r="C29" s="258"/>
      <c r="D29" s="256"/>
      <c r="E29" s="245"/>
    </row>
    <row r="30" spans="1:7" ht="18" customHeight="1" x14ac:dyDescent="0.2">
      <c r="A30" s="259"/>
      <c r="B30" s="260"/>
      <c r="C30" s="261"/>
      <c r="D30" s="261"/>
      <c r="E30" s="262"/>
    </row>
    <row r="31" spans="1:7" x14ac:dyDescent="0.2">
      <c r="A31" s="259"/>
      <c r="B31" s="263"/>
      <c r="C31" s="264"/>
      <c r="D31" s="261"/>
      <c r="E31" s="262"/>
    </row>
    <row r="32" spans="1:7" x14ac:dyDescent="0.2">
      <c r="A32" s="259"/>
      <c r="B32" s="263"/>
      <c r="C32" s="264"/>
      <c r="D32" s="261"/>
      <c r="E32" s="262"/>
    </row>
    <row r="33" spans="1:5" x14ac:dyDescent="0.2">
      <c r="A33" s="265"/>
      <c r="B33" s="266"/>
      <c r="C33" s="267"/>
      <c r="D33" s="267"/>
      <c r="E33" s="267"/>
    </row>
    <row r="34" spans="1:5" x14ac:dyDescent="0.2">
      <c r="A34" s="265"/>
      <c r="B34" s="268"/>
      <c r="C34" s="267"/>
      <c r="D34" s="269"/>
      <c r="E34" s="270"/>
    </row>
    <row r="35" spans="1:5" x14ac:dyDescent="0.2">
      <c r="A35" s="259"/>
      <c r="B35" s="260"/>
      <c r="C35" s="271"/>
      <c r="D35" s="271"/>
      <c r="E35" s="262"/>
    </row>
    <row r="36" spans="1:5" x14ac:dyDescent="0.2">
      <c r="A36" s="265"/>
      <c r="B36" s="260"/>
      <c r="C36" s="271"/>
      <c r="D36" s="271"/>
      <c r="E36" s="271"/>
    </row>
    <row r="37" spans="1:5" x14ac:dyDescent="0.2">
      <c r="A37" s="259"/>
      <c r="B37" s="260"/>
      <c r="C37" s="271"/>
      <c r="D37" s="271"/>
      <c r="E37" s="271"/>
    </row>
    <row r="38" spans="1:5" x14ac:dyDescent="0.2">
      <c r="A38" s="259"/>
      <c r="B38" s="260"/>
      <c r="C38" s="271"/>
      <c r="D38" s="271"/>
      <c r="E38" s="271"/>
    </row>
    <row r="39" spans="1:5" x14ac:dyDescent="0.2">
      <c r="A39" s="259"/>
      <c r="B39" s="260"/>
      <c r="C39" s="271"/>
      <c r="D39" s="271"/>
      <c r="E39" s="271"/>
    </row>
    <row r="40" spans="1:5" x14ac:dyDescent="0.2">
      <c r="A40" s="265"/>
      <c r="B40" s="260"/>
      <c r="C40" s="271"/>
      <c r="D40" s="271"/>
      <c r="E40" s="271"/>
    </row>
    <row r="41" spans="1:5" x14ac:dyDescent="0.2">
      <c r="A41" s="259"/>
      <c r="B41" s="272"/>
      <c r="C41" s="269"/>
      <c r="D41" s="269"/>
      <c r="E41" s="270"/>
    </row>
    <row r="42" spans="1:5" x14ac:dyDescent="0.2">
      <c r="A42" s="259"/>
      <c r="B42" s="260"/>
      <c r="C42" s="271"/>
      <c r="D42" s="271"/>
      <c r="E42" s="262"/>
    </row>
    <row r="43" spans="1:5" x14ac:dyDescent="0.2">
      <c r="A43" s="259"/>
      <c r="B43" s="272"/>
      <c r="C43" s="264"/>
      <c r="D43" s="264"/>
      <c r="E43" s="262"/>
    </row>
    <row r="44" spans="1:5" x14ac:dyDescent="0.2">
      <c r="A44" s="259"/>
      <c r="B44" s="260"/>
      <c r="C44" s="261"/>
      <c r="D44" s="261"/>
      <c r="E44" s="262"/>
    </row>
    <row r="45" spans="1:5" x14ac:dyDescent="0.2">
      <c r="A45" s="259"/>
      <c r="B45" s="260"/>
      <c r="C45" s="261"/>
      <c r="D45" s="261"/>
      <c r="E45" s="262"/>
    </row>
    <row r="46" spans="1:5" x14ac:dyDescent="0.2">
      <c r="A46" s="259"/>
      <c r="B46" s="260"/>
      <c r="C46" s="261"/>
      <c r="D46" s="261"/>
      <c r="E46" s="270"/>
    </row>
    <row r="47" spans="1:5" x14ac:dyDescent="0.2">
      <c r="A47" s="259"/>
      <c r="B47" s="260"/>
      <c r="C47" s="261"/>
      <c r="D47" s="261"/>
      <c r="E47" s="262"/>
    </row>
    <row r="48" spans="1:5" x14ac:dyDescent="0.2">
      <c r="A48" s="259"/>
      <c r="B48" s="260"/>
      <c r="C48" s="261"/>
      <c r="D48" s="261"/>
      <c r="E48" s="262"/>
    </row>
    <row r="49" spans="1:5" x14ac:dyDescent="0.2">
      <c r="A49" s="259"/>
      <c r="B49" s="273"/>
      <c r="C49" s="264"/>
      <c r="D49" s="264"/>
      <c r="E49" s="262"/>
    </row>
    <row r="50" spans="1:5" x14ac:dyDescent="0.2">
      <c r="A50" s="265"/>
      <c r="B50" s="263"/>
      <c r="C50" s="274"/>
      <c r="E50" s="262"/>
    </row>
    <row r="51" spans="1:5" x14ac:dyDescent="0.2">
      <c r="A51" s="265"/>
      <c r="B51" s="276"/>
      <c r="C51" s="265"/>
      <c r="E51" s="262"/>
    </row>
    <row r="52" spans="1:5" x14ac:dyDescent="0.2">
      <c r="A52" s="265"/>
      <c r="B52" s="277"/>
      <c r="C52" s="265"/>
      <c r="E52" s="262"/>
    </row>
    <row r="53" spans="1:5" x14ac:dyDescent="0.2">
      <c r="B53" s="276"/>
      <c r="C53" s="278"/>
      <c r="D53" s="270"/>
      <c r="E53" s="262"/>
    </row>
    <row r="54" spans="1:5" x14ac:dyDescent="0.2">
      <c r="A54" s="279"/>
      <c r="B54" s="276"/>
      <c r="C54" s="278"/>
      <c r="D54" s="280"/>
      <c r="E54" s="262"/>
    </row>
    <row r="55" spans="1:5" x14ac:dyDescent="0.2">
      <c r="A55" s="279"/>
      <c r="B55" s="276"/>
      <c r="C55" s="278"/>
      <c r="D55" s="280"/>
      <c r="E55" s="262"/>
    </row>
    <row r="56" spans="1:5" x14ac:dyDescent="0.2">
      <c r="A56" s="279"/>
      <c r="B56" s="276"/>
      <c r="C56" s="278"/>
      <c r="D56" s="274"/>
      <c r="E56" s="262"/>
    </row>
    <row r="57" spans="1:5" x14ac:dyDescent="0.2">
      <c r="A57" s="279"/>
      <c r="B57" s="276"/>
      <c r="C57" s="280"/>
      <c r="D57" s="280"/>
      <c r="E57" s="270"/>
    </row>
    <row r="58" spans="1:5" x14ac:dyDescent="0.2">
      <c r="A58" s="279"/>
      <c r="B58" s="276"/>
      <c r="C58" s="274"/>
      <c r="D58" s="280"/>
      <c r="E58" s="270"/>
    </row>
    <row r="59" spans="1:5" x14ac:dyDescent="0.2">
      <c r="A59" s="279"/>
      <c r="B59" s="276"/>
      <c r="C59" s="274"/>
      <c r="D59" s="280"/>
      <c r="E59" s="270"/>
    </row>
    <row r="60" spans="1:5" x14ac:dyDescent="0.2">
      <c r="A60" s="279"/>
      <c r="B60" s="276"/>
      <c r="C60" s="274"/>
      <c r="D60" s="281"/>
      <c r="E60" s="282"/>
    </row>
    <row r="61" spans="1:5" x14ac:dyDescent="0.2">
      <c r="A61" s="275"/>
      <c r="B61" s="276"/>
      <c r="C61" s="280"/>
      <c r="D61" s="281"/>
      <c r="E61" s="282"/>
    </row>
    <row r="62" spans="1:5" x14ac:dyDescent="0.2">
      <c r="A62" s="279"/>
      <c r="B62" s="283"/>
      <c r="C62" s="284"/>
      <c r="D62" s="281"/>
      <c r="E62" s="282"/>
    </row>
    <row r="63" spans="1:5" x14ac:dyDescent="0.2">
      <c r="A63" s="279"/>
      <c r="B63" s="283"/>
      <c r="C63" s="285"/>
      <c r="D63" s="284"/>
      <c r="E63" s="286"/>
    </row>
    <row r="64" spans="1:5" x14ac:dyDescent="0.2">
      <c r="A64" s="287"/>
      <c r="B64" s="288"/>
      <c r="C64" s="285"/>
      <c r="D64" s="284"/>
      <c r="E64" s="286"/>
    </row>
    <row r="65" spans="1:5" x14ac:dyDescent="0.2">
      <c r="A65" s="289"/>
      <c r="B65" s="283"/>
      <c r="C65" s="284"/>
      <c r="D65" s="284"/>
      <c r="E65" s="286"/>
    </row>
    <row r="66" spans="1:5" x14ac:dyDescent="0.2">
      <c r="A66" s="290"/>
      <c r="B66" s="291"/>
      <c r="C66" s="292"/>
      <c r="D66" s="285"/>
      <c r="E66" s="286"/>
    </row>
    <row r="67" spans="1:5" x14ac:dyDescent="0.2">
      <c r="A67" s="290"/>
      <c r="B67" s="291"/>
      <c r="C67" s="293"/>
      <c r="D67" s="285"/>
      <c r="E67" s="286"/>
    </row>
    <row r="68" spans="1:5" x14ac:dyDescent="0.2">
      <c r="A68" s="259"/>
      <c r="B68" s="260"/>
      <c r="C68" s="284"/>
      <c r="D68" s="284"/>
      <c r="E68" s="282"/>
    </row>
    <row r="69" spans="1:5" x14ac:dyDescent="0.2">
      <c r="A69" s="259"/>
      <c r="B69" s="260"/>
      <c r="C69" s="284"/>
      <c r="D69" s="285"/>
      <c r="E69" s="286"/>
    </row>
    <row r="70" spans="1:5" x14ac:dyDescent="0.2">
      <c r="A70" s="259"/>
      <c r="B70" s="260"/>
      <c r="C70" s="284"/>
      <c r="D70" s="284"/>
      <c r="E70" s="294"/>
    </row>
    <row r="71" spans="1:5" x14ac:dyDescent="0.2">
      <c r="A71" s="259"/>
      <c r="B71" s="260"/>
      <c r="C71" s="284"/>
      <c r="D71" s="284"/>
      <c r="E71" s="286"/>
    </row>
    <row r="72" spans="1:5" x14ac:dyDescent="0.2">
      <c r="A72" s="259"/>
      <c r="B72" s="260"/>
      <c r="C72" s="284"/>
      <c r="D72" s="284"/>
      <c r="E72" s="286"/>
    </row>
    <row r="73" spans="1:5" x14ac:dyDescent="0.2">
      <c r="A73" s="259"/>
      <c r="B73" s="260"/>
      <c r="C73" s="284"/>
      <c r="D73" s="284"/>
      <c r="E73" s="295"/>
    </row>
    <row r="74" spans="1:5" x14ac:dyDescent="0.2">
      <c r="A74" s="259"/>
      <c r="B74" s="260"/>
      <c r="C74" s="284"/>
      <c r="D74" s="284"/>
      <c r="E74" s="284"/>
    </row>
    <row r="75" spans="1:5" x14ac:dyDescent="0.2">
      <c r="A75" s="259"/>
      <c r="B75" s="260"/>
      <c r="C75" s="284"/>
      <c r="D75" s="284"/>
      <c r="E75" s="284"/>
    </row>
    <row r="76" spans="1:5" x14ac:dyDescent="0.2">
      <c r="A76" s="259"/>
      <c r="B76" s="260"/>
      <c r="C76" s="284"/>
      <c r="D76" s="284"/>
      <c r="E76" s="284"/>
    </row>
    <row r="77" spans="1:5" x14ac:dyDescent="0.2">
      <c r="A77" s="259"/>
      <c r="B77" s="260"/>
      <c r="C77" s="284"/>
      <c r="D77" s="284"/>
      <c r="E77" s="284"/>
    </row>
    <row r="78" spans="1:5" x14ac:dyDescent="0.2">
      <c r="A78" s="259"/>
      <c r="B78" s="260"/>
      <c r="C78" s="284"/>
      <c r="D78" s="284"/>
      <c r="E78" s="284"/>
    </row>
    <row r="79" spans="1:5" x14ac:dyDescent="0.2">
      <c r="A79" s="259"/>
      <c r="B79" s="260"/>
      <c r="C79" s="284"/>
      <c r="D79" s="284"/>
      <c r="E79" s="284"/>
    </row>
    <row r="80" spans="1:5" x14ac:dyDescent="0.2">
      <c r="A80" s="259"/>
      <c r="B80" s="260"/>
      <c r="C80" s="284"/>
      <c r="D80" s="284"/>
      <c r="E80" s="284"/>
    </row>
    <row r="81" spans="1:5" x14ac:dyDescent="0.2">
      <c r="A81" s="259"/>
      <c r="B81" s="260"/>
      <c r="C81" s="284"/>
      <c r="D81" s="284"/>
      <c r="E81" s="284"/>
    </row>
    <row r="82" spans="1:5" x14ac:dyDescent="0.2">
      <c r="A82" s="259"/>
      <c r="B82" s="260"/>
      <c r="C82" s="284"/>
      <c r="D82" s="284"/>
      <c r="E82" s="284"/>
    </row>
    <row r="83" spans="1:5" x14ac:dyDescent="0.2">
      <c r="C83" s="297"/>
      <c r="D83" s="284"/>
      <c r="E83" s="297"/>
    </row>
    <row r="84" spans="1:5" x14ac:dyDescent="0.2">
      <c r="C84" s="234"/>
      <c r="D84" s="284"/>
      <c r="E84" s="297"/>
    </row>
    <row r="85" spans="1:5" x14ac:dyDescent="0.2">
      <c r="C85" s="234"/>
      <c r="D85" s="284"/>
      <c r="E85" s="297"/>
    </row>
    <row r="86" spans="1:5" x14ac:dyDescent="0.2">
      <c r="C86" s="234"/>
      <c r="D86" s="297"/>
      <c r="E86" s="297"/>
    </row>
    <row r="87" spans="1:5" x14ac:dyDescent="0.2">
      <c r="C87" s="234"/>
      <c r="D87" s="234"/>
      <c r="E87" s="297"/>
    </row>
    <row r="88" spans="1:5" x14ac:dyDescent="0.2">
      <c r="C88" s="234"/>
      <c r="D88" s="234"/>
      <c r="E88" s="234"/>
    </row>
    <row r="89" spans="1:5" x14ac:dyDescent="0.2">
      <c r="C89" s="234"/>
      <c r="D89" s="234"/>
      <c r="E89" s="234"/>
    </row>
    <row r="90" spans="1:5" x14ac:dyDescent="0.2">
      <c r="C90" s="234"/>
      <c r="D90" s="234"/>
      <c r="E90" s="234"/>
    </row>
    <row r="91" spans="1:5" x14ac:dyDescent="0.2">
      <c r="C91" s="234"/>
      <c r="D91" s="234"/>
      <c r="E91" s="234"/>
    </row>
    <row r="92" spans="1:5" x14ac:dyDescent="0.2">
      <c r="C92" s="234"/>
      <c r="D92" s="234"/>
      <c r="E92" s="234"/>
    </row>
    <row r="93" spans="1:5" x14ac:dyDescent="0.2">
      <c r="C93" s="234"/>
      <c r="D93" s="234"/>
      <c r="E93" s="234"/>
    </row>
    <row r="94" spans="1:5" x14ac:dyDescent="0.2">
      <c r="C94" s="234"/>
      <c r="D94" s="234"/>
      <c r="E94" s="234"/>
    </row>
    <row r="95" spans="1:5" x14ac:dyDescent="0.2">
      <c r="C95" s="234"/>
      <c r="D95" s="234"/>
      <c r="E95" s="234"/>
    </row>
    <row r="96" spans="1:5" x14ac:dyDescent="0.2">
      <c r="C96" s="234"/>
      <c r="D96" s="234"/>
      <c r="E96" s="234"/>
    </row>
    <row r="97" spans="3:5" x14ac:dyDescent="0.2">
      <c r="C97" s="234"/>
      <c r="D97" s="234"/>
      <c r="E97" s="234"/>
    </row>
    <row r="98" spans="3:5" x14ac:dyDescent="0.2">
      <c r="C98" s="234"/>
      <c r="D98" s="234"/>
      <c r="E98" s="234"/>
    </row>
    <row r="99" spans="3:5" x14ac:dyDescent="0.2">
      <c r="C99" s="234"/>
      <c r="D99" s="234"/>
      <c r="E99" s="234"/>
    </row>
    <row r="100" spans="3:5" x14ac:dyDescent="0.2">
      <c r="C100" s="234"/>
      <c r="D100" s="234"/>
      <c r="E100" s="234"/>
    </row>
    <row r="101" spans="3:5" x14ac:dyDescent="0.2">
      <c r="C101" s="234"/>
      <c r="D101" s="234"/>
      <c r="E101" s="234"/>
    </row>
    <row r="102" spans="3:5" x14ac:dyDescent="0.2">
      <c r="C102" s="234"/>
      <c r="D102" s="234"/>
      <c r="E102" s="234"/>
    </row>
    <row r="103" spans="3:5" x14ac:dyDescent="0.2">
      <c r="C103" s="234"/>
      <c r="D103" s="234"/>
      <c r="E103" s="234"/>
    </row>
    <row r="104" spans="3:5" x14ac:dyDescent="0.2">
      <c r="C104" s="234"/>
      <c r="D104" s="234"/>
      <c r="E104" s="234"/>
    </row>
    <row r="105" spans="3:5" x14ac:dyDescent="0.2">
      <c r="C105" s="234"/>
      <c r="D105" s="234"/>
      <c r="E105" s="234"/>
    </row>
    <row r="106" spans="3:5" x14ac:dyDescent="0.2">
      <c r="C106" s="234"/>
      <c r="D106" s="234"/>
      <c r="E106" s="234"/>
    </row>
    <row r="107" spans="3:5" x14ac:dyDescent="0.2">
      <c r="C107" s="234"/>
      <c r="D107" s="234"/>
      <c r="E107" s="234"/>
    </row>
    <row r="108" spans="3:5" x14ac:dyDescent="0.2">
      <c r="C108" s="234"/>
      <c r="D108" s="234"/>
      <c r="E108" s="234"/>
    </row>
    <row r="109" spans="3:5" x14ac:dyDescent="0.2">
      <c r="C109" s="234"/>
      <c r="D109" s="234"/>
      <c r="E109" s="234"/>
    </row>
    <row r="110" spans="3:5" x14ac:dyDescent="0.2">
      <c r="C110" s="234"/>
      <c r="D110" s="234"/>
      <c r="E110" s="234"/>
    </row>
    <row r="111" spans="3:5" x14ac:dyDescent="0.2">
      <c r="C111" s="234"/>
      <c r="D111" s="234"/>
      <c r="E111" s="234"/>
    </row>
    <row r="112" spans="3:5" x14ac:dyDescent="0.2">
      <c r="C112" s="234"/>
      <c r="D112" s="234"/>
      <c r="E112" s="234"/>
    </row>
    <row r="113" spans="3:5" x14ac:dyDescent="0.2">
      <c r="C113" s="234"/>
      <c r="D113" s="234"/>
      <c r="E113" s="234"/>
    </row>
    <row r="114" spans="3:5" x14ac:dyDescent="0.2">
      <c r="C114" s="234"/>
      <c r="D114" s="234"/>
      <c r="E114" s="234"/>
    </row>
    <row r="115" spans="3:5" x14ac:dyDescent="0.2">
      <c r="C115" s="234"/>
      <c r="D115" s="234"/>
      <c r="E115" s="234"/>
    </row>
    <row r="116" spans="3:5" x14ac:dyDescent="0.2">
      <c r="D116" s="234"/>
      <c r="E116" s="234"/>
    </row>
    <row r="117" spans="3:5" x14ac:dyDescent="0.2">
      <c r="D117" s="234"/>
      <c r="E117" s="234"/>
    </row>
    <row r="118" spans="3:5" x14ac:dyDescent="0.2">
      <c r="D118" s="234"/>
      <c r="E118" s="234"/>
    </row>
    <row r="119" spans="3:5" x14ac:dyDescent="0.2">
      <c r="E119" s="234"/>
    </row>
  </sheetData>
  <mergeCells count="4">
    <mergeCell ref="A1:D1"/>
    <mergeCell ref="A3:D3"/>
    <mergeCell ref="A5:D5"/>
    <mergeCell ref="C7:D7"/>
  </mergeCells>
  <printOptions horizontalCentered="1"/>
  <pageMargins left="0.74803149606299213" right="0.74803149606299213" top="0.19685039370078741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B1CA2-7820-4009-9D67-F63E05B18469}">
  <sheetPr>
    <tabColor rgb="FFFFC000"/>
  </sheetPr>
  <dimension ref="A1:R51"/>
  <sheetViews>
    <sheetView zoomScaleNormal="100" workbookViewId="0">
      <selection sqref="A1:D1"/>
    </sheetView>
  </sheetViews>
  <sheetFormatPr defaultRowHeight="12.75" x14ac:dyDescent="0.2"/>
  <cols>
    <col min="1" max="1" width="7" style="316" customWidth="1"/>
    <col min="2" max="2" width="35.140625" style="234" customWidth="1"/>
    <col min="3" max="3" width="16.5703125" style="234" customWidth="1"/>
    <col min="4" max="4" width="13.42578125" style="234" customWidth="1"/>
    <col min="5" max="16384" width="9.140625" style="234"/>
  </cols>
  <sheetData>
    <row r="1" spans="1:18" s="218" customFormat="1" ht="27.75" customHeight="1" x14ac:dyDescent="0.2">
      <c r="A1" s="812" t="s">
        <v>593</v>
      </c>
      <c r="B1" s="813"/>
      <c r="C1" s="813"/>
      <c r="D1" s="813"/>
      <c r="E1" s="216"/>
      <c r="F1" s="216"/>
      <c r="G1" s="216"/>
      <c r="H1" s="216"/>
      <c r="I1" s="216"/>
      <c r="J1" s="217"/>
      <c r="K1" s="217"/>
      <c r="L1" s="217"/>
      <c r="M1" s="217"/>
      <c r="N1" s="217"/>
      <c r="O1" s="217"/>
      <c r="P1" s="217"/>
      <c r="Q1" s="217"/>
      <c r="R1" s="217"/>
    </row>
    <row r="2" spans="1:18" s="218" customFormat="1" ht="12" x14ac:dyDescent="0.2">
      <c r="A2" s="219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1"/>
    </row>
    <row r="3" spans="1:18" s="218" customFormat="1" ht="28.5" customHeight="1" x14ac:dyDescent="0.2">
      <c r="A3" s="814" t="s">
        <v>551</v>
      </c>
      <c r="B3" s="815"/>
      <c r="C3" s="815"/>
      <c r="D3" s="815"/>
      <c r="E3" s="222"/>
      <c r="F3" s="222"/>
      <c r="G3" s="222"/>
      <c r="H3" s="222"/>
      <c r="I3" s="222"/>
      <c r="J3" s="217"/>
      <c r="K3" s="217"/>
      <c r="L3" s="217"/>
      <c r="M3" s="217"/>
      <c r="N3" s="217"/>
      <c r="O3" s="217"/>
      <c r="P3" s="217"/>
      <c r="Q3" s="217"/>
      <c r="R3" s="217"/>
    </row>
    <row r="4" spans="1:18" s="218" customFormat="1" ht="12" x14ac:dyDescent="0.2">
      <c r="A4" s="223"/>
      <c r="B4" s="224"/>
      <c r="C4" s="224"/>
      <c r="D4" s="224"/>
      <c r="E4" s="224"/>
      <c r="F4" s="224"/>
      <c r="G4" s="224"/>
      <c r="H4" s="224"/>
      <c r="I4" s="224"/>
      <c r="J4" s="225"/>
      <c r="K4" s="221"/>
      <c r="L4" s="221"/>
      <c r="M4" s="221"/>
      <c r="N4" s="221"/>
      <c r="O4" s="221"/>
      <c r="P4" s="221"/>
      <c r="Q4" s="221"/>
      <c r="R4" s="221"/>
    </row>
    <row r="5" spans="1:18" s="218" customFormat="1" ht="33" customHeight="1" x14ac:dyDescent="0.25">
      <c r="A5" s="816" t="s">
        <v>560</v>
      </c>
      <c r="B5" s="817"/>
      <c r="C5" s="817"/>
      <c r="D5" s="817"/>
      <c r="E5" s="226"/>
      <c r="F5" s="226"/>
      <c r="G5" s="226"/>
      <c r="H5" s="226"/>
      <c r="I5" s="226"/>
      <c r="J5" s="227"/>
      <c r="K5" s="227"/>
      <c r="L5" s="227"/>
      <c r="M5" s="227"/>
      <c r="N5" s="227"/>
      <c r="O5" s="227"/>
      <c r="P5" s="227"/>
      <c r="Q5" s="227"/>
      <c r="R5" s="227"/>
    </row>
    <row r="6" spans="1:18" s="218" customFormat="1" ht="12" x14ac:dyDescent="0.2">
      <c r="A6" s="223"/>
      <c r="B6" s="224"/>
      <c r="C6" s="224"/>
      <c r="D6" s="224"/>
      <c r="E6" s="224"/>
      <c r="F6" s="224"/>
      <c r="G6" s="224"/>
      <c r="H6" s="224"/>
      <c r="I6" s="224"/>
      <c r="J6" s="225"/>
      <c r="K6" s="221"/>
      <c r="L6" s="221"/>
      <c r="M6" s="221"/>
      <c r="N6" s="221"/>
      <c r="O6" s="221"/>
      <c r="P6" s="221"/>
      <c r="Q6" s="221"/>
      <c r="R6" s="221"/>
    </row>
    <row r="7" spans="1:18" s="218" customFormat="1" x14ac:dyDescent="0.2">
      <c r="A7" s="228"/>
      <c r="B7" s="228"/>
      <c r="C7" s="807" t="s">
        <v>518</v>
      </c>
      <c r="D7" s="807"/>
      <c r="E7" s="228"/>
      <c r="F7" s="228"/>
      <c r="G7" s="228"/>
      <c r="H7" s="228"/>
      <c r="I7" s="217"/>
      <c r="J7" s="217"/>
      <c r="K7" s="217"/>
      <c r="L7" s="217"/>
      <c r="M7" s="217"/>
      <c r="N7" s="217"/>
      <c r="O7" s="217"/>
      <c r="P7" s="217"/>
      <c r="Q7" s="217"/>
      <c r="R7" s="217"/>
    </row>
    <row r="8" spans="1:18" s="218" customFormat="1" x14ac:dyDescent="0.2">
      <c r="A8" s="600" t="s">
        <v>68</v>
      </c>
      <c r="B8" s="600" t="s">
        <v>76</v>
      </c>
      <c r="C8" s="600" t="s">
        <v>69</v>
      </c>
      <c r="D8" s="609" t="s">
        <v>70</v>
      </c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</row>
    <row r="9" spans="1:18" ht="15.75" x14ac:dyDescent="0.25">
      <c r="A9" s="601" t="s">
        <v>345</v>
      </c>
      <c r="B9" s="602" t="s">
        <v>346</v>
      </c>
      <c r="C9" s="603" t="s">
        <v>347</v>
      </c>
      <c r="D9" s="610" t="s">
        <v>342</v>
      </c>
      <c r="E9" s="611"/>
      <c r="F9" s="611"/>
      <c r="G9" s="611"/>
      <c r="H9" s="611"/>
    </row>
    <row r="10" spans="1:18" ht="31.35" customHeight="1" x14ac:dyDescent="0.2">
      <c r="A10" s="604">
        <v>1</v>
      </c>
      <c r="B10" s="298" t="s">
        <v>348</v>
      </c>
      <c r="C10" s="299">
        <v>125831834</v>
      </c>
      <c r="D10" s="605">
        <f>'6.melléklet.Kiadások.Önk.'!AG57</f>
        <v>125831834</v>
      </c>
    </row>
    <row r="11" spans="1:18" ht="31.35" customHeight="1" x14ac:dyDescent="0.2">
      <c r="A11" s="604">
        <v>2</v>
      </c>
      <c r="B11" s="300" t="s">
        <v>349</v>
      </c>
      <c r="C11" s="301">
        <v>154392520</v>
      </c>
      <c r="D11" s="605">
        <f>'6.melléklet.Kiadások.Önk.'!AG60</f>
        <v>154437913</v>
      </c>
      <c r="E11" s="302"/>
    </row>
    <row r="12" spans="1:18" ht="31.35" customHeight="1" x14ac:dyDescent="0.2">
      <c r="A12" s="604">
        <v>3</v>
      </c>
      <c r="B12" s="300" t="s">
        <v>350</v>
      </c>
      <c r="C12" s="301">
        <v>139210005</v>
      </c>
      <c r="D12" s="605">
        <f ca="1">'6.melléklet.Kiadások.Önk.'!AG63</f>
        <v>148226193</v>
      </c>
      <c r="E12" s="302"/>
    </row>
    <row r="13" spans="1:18" ht="15.75" x14ac:dyDescent="0.25">
      <c r="A13" s="606"/>
      <c r="B13" s="607" t="s">
        <v>79</v>
      </c>
      <c r="C13" s="608">
        <f>C10+C11+C12</f>
        <v>419434359</v>
      </c>
      <c r="D13" s="608">
        <f ca="1">D10+D11+D12</f>
        <v>428495940</v>
      </c>
      <c r="E13" s="302"/>
    </row>
    <row r="14" spans="1:18" ht="15.75" x14ac:dyDescent="0.25">
      <c r="A14" s="303"/>
      <c r="B14" s="304"/>
      <c r="C14" s="305"/>
    </row>
    <row r="15" spans="1:18" x14ac:dyDescent="0.2">
      <c r="A15" s="306"/>
      <c r="B15" s="307"/>
      <c r="C15" s="305"/>
      <c r="E15" s="302"/>
    </row>
    <row r="16" spans="1:18" x14ac:dyDescent="0.2">
      <c r="A16" s="306"/>
      <c r="B16" s="307"/>
      <c r="C16" s="305"/>
    </row>
    <row r="17" spans="1:3" x14ac:dyDescent="0.2">
      <c r="A17" s="308"/>
      <c r="B17" s="309"/>
      <c r="C17" s="305"/>
    </row>
    <row r="18" spans="1:3" x14ac:dyDescent="0.2">
      <c r="A18" s="310"/>
      <c r="B18" s="311"/>
      <c r="C18" s="305"/>
    </row>
    <row r="19" spans="1:3" x14ac:dyDescent="0.2">
      <c r="A19" s="308"/>
      <c r="B19" s="312"/>
      <c r="C19" s="305"/>
    </row>
    <row r="20" spans="1:3" x14ac:dyDescent="0.2">
      <c r="A20" s="308"/>
      <c r="B20" s="309"/>
    </row>
    <row r="21" spans="1:3" x14ac:dyDescent="0.2">
      <c r="A21" s="308"/>
      <c r="B21" s="309"/>
      <c r="C21" s="313"/>
    </row>
    <row r="22" spans="1:3" x14ac:dyDescent="0.2">
      <c r="A22" s="308"/>
      <c r="B22" s="309"/>
    </row>
    <row r="23" spans="1:3" x14ac:dyDescent="0.2">
      <c r="A23" s="308"/>
      <c r="B23" s="309"/>
      <c r="C23" s="313"/>
    </row>
    <row r="24" spans="1:3" x14ac:dyDescent="0.2">
      <c r="A24" s="308"/>
      <c r="B24" s="309"/>
    </row>
    <row r="25" spans="1:3" x14ac:dyDescent="0.2">
      <c r="A25" s="308"/>
      <c r="B25" s="309"/>
    </row>
    <row r="26" spans="1:3" x14ac:dyDescent="0.2">
      <c r="A26" s="308"/>
      <c r="B26" s="309"/>
    </row>
    <row r="27" spans="1:3" x14ac:dyDescent="0.2">
      <c r="A27" s="308"/>
      <c r="B27" s="309"/>
    </row>
    <row r="28" spans="1:3" x14ac:dyDescent="0.2">
      <c r="A28" s="308"/>
      <c r="B28" s="309"/>
    </row>
    <row r="29" spans="1:3" x14ac:dyDescent="0.2">
      <c r="A29" s="308"/>
      <c r="B29" s="309"/>
    </row>
    <row r="30" spans="1:3" x14ac:dyDescent="0.2">
      <c r="A30" s="308"/>
      <c r="B30" s="314"/>
    </row>
    <row r="31" spans="1:3" x14ac:dyDescent="0.2">
      <c r="A31" s="308"/>
      <c r="B31" s="309"/>
    </row>
    <row r="32" spans="1:3" x14ac:dyDescent="0.2">
      <c r="A32" s="315"/>
      <c r="B32" s="309"/>
    </row>
    <row r="33" spans="1:2" x14ac:dyDescent="0.2">
      <c r="A33" s="315"/>
      <c r="B33" s="309"/>
    </row>
    <row r="34" spans="1:2" x14ac:dyDescent="0.2">
      <c r="A34" s="315"/>
      <c r="B34" s="309"/>
    </row>
    <row r="35" spans="1:2" x14ac:dyDescent="0.2">
      <c r="A35" s="315"/>
      <c r="B35" s="309"/>
    </row>
    <row r="36" spans="1:2" x14ac:dyDescent="0.2">
      <c r="B36" s="309"/>
    </row>
    <row r="37" spans="1:2" x14ac:dyDescent="0.2">
      <c r="B37" s="309"/>
    </row>
    <row r="38" spans="1:2" x14ac:dyDescent="0.2">
      <c r="B38" s="309"/>
    </row>
    <row r="39" spans="1:2" x14ac:dyDescent="0.2">
      <c r="B39" s="309"/>
    </row>
    <row r="40" spans="1:2" x14ac:dyDescent="0.2">
      <c r="B40" s="309"/>
    </row>
    <row r="41" spans="1:2" x14ac:dyDescent="0.2">
      <c r="B41" s="309"/>
    </row>
    <row r="42" spans="1:2" x14ac:dyDescent="0.2">
      <c r="B42" s="309"/>
    </row>
    <row r="43" spans="1:2" x14ac:dyDescent="0.2">
      <c r="B43" s="309"/>
    </row>
    <row r="44" spans="1:2" x14ac:dyDescent="0.2">
      <c r="B44" s="309"/>
    </row>
    <row r="45" spans="1:2" x14ac:dyDescent="0.2">
      <c r="B45" s="309"/>
    </row>
    <row r="46" spans="1:2" x14ac:dyDescent="0.2">
      <c r="B46" s="309"/>
    </row>
    <row r="47" spans="1:2" x14ac:dyDescent="0.2">
      <c r="B47" s="309"/>
    </row>
    <row r="48" spans="1:2" x14ac:dyDescent="0.2">
      <c r="B48" s="309"/>
    </row>
    <row r="49" spans="2:2" x14ac:dyDescent="0.2">
      <c r="B49" s="309"/>
    </row>
    <row r="50" spans="2:2" x14ac:dyDescent="0.2">
      <c r="B50" s="309"/>
    </row>
    <row r="51" spans="2:2" x14ac:dyDescent="0.2">
      <c r="B51" s="309"/>
    </row>
  </sheetData>
  <mergeCells count="4">
    <mergeCell ref="A1:D1"/>
    <mergeCell ref="A3:D3"/>
    <mergeCell ref="A5:D5"/>
    <mergeCell ref="C7:D7"/>
  </mergeCells>
  <printOptions horizontalCentered="1"/>
  <pageMargins left="0.74803149606299213" right="1.1417322834645669" top="0.19685039370078741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E5767-51BB-48E1-8586-9709EC3FDDCE}">
  <sheetPr>
    <tabColor rgb="FFFFC000"/>
  </sheetPr>
  <dimension ref="A1:R82"/>
  <sheetViews>
    <sheetView zoomScaleNormal="100" workbookViewId="0">
      <selection sqref="A1:D1"/>
    </sheetView>
  </sheetViews>
  <sheetFormatPr defaultRowHeight="12.75" x14ac:dyDescent="0.2"/>
  <cols>
    <col min="1" max="1" width="6" style="234" customWidth="1"/>
    <col min="2" max="2" width="55.85546875" style="234" customWidth="1"/>
    <col min="3" max="3" width="12" style="234" customWidth="1"/>
    <col min="4" max="4" width="10.5703125" style="234" customWidth="1"/>
    <col min="5" max="6" width="9.140625" style="234"/>
    <col min="7" max="7" width="22.42578125" style="234" customWidth="1"/>
    <col min="8" max="16384" width="9.140625" style="234"/>
  </cols>
  <sheetData>
    <row r="1" spans="1:18" s="218" customFormat="1" ht="27.75" customHeight="1" x14ac:dyDescent="0.2">
      <c r="A1" s="812" t="s">
        <v>594</v>
      </c>
      <c r="B1" s="813"/>
      <c r="C1" s="813"/>
      <c r="D1" s="813"/>
      <c r="E1" s="216"/>
      <c r="F1" s="216"/>
      <c r="G1" s="216"/>
      <c r="H1" s="216"/>
      <c r="I1" s="216"/>
      <c r="J1" s="217"/>
      <c r="K1" s="217"/>
      <c r="L1" s="217"/>
      <c r="M1" s="217"/>
      <c r="N1" s="217"/>
      <c r="O1" s="217"/>
      <c r="P1" s="217"/>
      <c r="Q1" s="217"/>
      <c r="R1" s="217"/>
    </row>
    <row r="2" spans="1:18" s="218" customFormat="1" ht="12" x14ac:dyDescent="0.2">
      <c r="A2" s="219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1"/>
    </row>
    <row r="3" spans="1:18" s="218" customFormat="1" ht="28.5" customHeight="1" x14ac:dyDescent="0.2">
      <c r="A3" s="814" t="s">
        <v>552</v>
      </c>
      <c r="B3" s="815"/>
      <c r="C3" s="815"/>
      <c r="D3" s="815"/>
      <c r="E3" s="222"/>
      <c r="F3" s="222"/>
      <c r="G3" s="222"/>
      <c r="H3" s="222"/>
      <c r="I3" s="222"/>
      <c r="J3" s="217"/>
      <c r="K3" s="217"/>
      <c r="L3" s="217"/>
      <c r="M3" s="217"/>
      <c r="N3" s="217"/>
      <c r="O3" s="217"/>
      <c r="P3" s="217"/>
      <c r="Q3" s="217"/>
      <c r="R3" s="217"/>
    </row>
    <row r="4" spans="1:18" s="218" customFormat="1" ht="12" x14ac:dyDescent="0.2">
      <c r="A4" s="223"/>
      <c r="B4" s="224"/>
      <c r="C4" s="224"/>
      <c r="D4" s="224"/>
      <c r="E4" s="224"/>
      <c r="F4" s="224"/>
      <c r="G4" s="224"/>
      <c r="H4" s="224"/>
      <c r="I4" s="224"/>
      <c r="J4" s="225"/>
      <c r="K4" s="221"/>
      <c r="L4" s="221"/>
      <c r="M4" s="221"/>
      <c r="N4" s="221"/>
      <c r="O4" s="221"/>
      <c r="P4" s="221"/>
      <c r="Q4" s="221"/>
      <c r="R4" s="221"/>
    </row>
    <row r="5" spans="1:18" s="218" customFormat="1" ht="33" customHeight="1" x14ac:dyDescent="0.25">
      <c r="A5" s="816" t="s">
        <v>351</v>
      </c>
      <c r="B5" s="817"/>
      <c r="C5" s="817"/>
      <c r="D5" s="817"/>
      <c r="E5" s="226"/>
      <c r="F5" s="226"/>
      <c r="G5" s="226"/>
      <c r="H5" s="226"/>
      <c r="I5" s="226"/>
      <c r="J5" s="227"/>
      <c r="K5" s="227"/>
      <c r="L5" s="227"/>
      <c r="M5" s="227"/>
      <c r="N5" s="227"/>
      <c r="O5" s="227"/>
      <c r="P5" s="227"/>
      <c r="Q5" s="227"/>
      <c r="R5" s="227"/>
    </row>
    <row r="6" spans="1:18" s="218" customFormat="1" ht="12" x14ac:dyDescent="0.2">
      <c r="A6" s="223"/>
      <c r="B6" s="224"/>
      <c r="C6" s="224"/>
      <c r="D6" s="224"/>
      <c r="E6" s="657"/>
      <c r="F6" s="657"/>
      <c r="G6" s="657"/>
      <c r="H6" s="657"/>
      <c r="I6" s="224"/>
      <c r="J6" s="225"/>
      <c r="K6" s="221"/>
      <c r="L6" s="221"/>
      <c r="M6" s="221"/>
      <c r="N6" s="221"/>
      <c r="O6" s="221"/>
      <c r="P6" s="221"/>
      <c r="Q6" s="221"/>
      <c r="R6" s="221"/>
    </row>
    <row r="7" spans="1:18" s="218" customFormat="1" ht="13.5" thickBot="1" x14ac:dyDescent="0.25">
      <c r="A7" s="228"/>
      <c r="B7" s="228"/>
      <c r="C7" s="807" t="s">
        <v>513</v>
      </c>
      <c r="D7" s="80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</row>
    <row r="8" spans="1:18" s="218" customFormat="1" ht="20.25" customHeight="1" thickBot="1" x14ac:dyDescent="0.25">
      <c r="A8" s="688" t="s">
        <v>68</v>
      </c>
      <c r="B8" s="689" t="s">
        <v>76</v>
      </c>
      <c r="C8" s="689" t="s">
        <v>69</v>
      </c>
      <c r="D8" s="690" t="s">
        <v>70</v>
      </c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</row>
    <row r="9" spans="1:18" ht="27.75" customHeight="1" x14ac:dyDescent="0.25">
      <c r="A9" s="612"/>
      <c r="B9" s="613" t="s">
        <v>77</v>
      </c>
      <c r="C9" s="614" t="s">
        <v>533</v>
      </c>
      <c r="D9" s="615" t="s">
        <v>534</v>
      </c>
    </row>
    <row r="10" spans="1:18" x14ac:dyDescent="0.2">
      <c r="A10" s="317" t="s">
        <v>352</v>
      </c>
      <c r="B10" s="318" t="s">
        <v>49</v>
      </c>
      <c r="C10" s="319"/>
      <c r="D10" s="320"/>
    </row>
    <row r="11" spans="1:18" ht="15" customHeight="1" x14ac:dyDescent="0.2">
      <c r="A11" s="616" t="s">
        <v>1</v>
      </c>
      <c r="B11" s="247" t="s">
        <v>353</v>
      </c>
      <c r="C11" s="247"/>
      <c r="D11" s="248"/>
    </row>
    <row r="12" spans="1:18" x14ac:dyDescent="0.2">
      <c r="A12" s="616" t="s">
        <v>3</v>
      </c>
      <c r="B12" s="243" t="s">
        <v>79</v>
      </c>
      <c r="C12" s="243">
        <f>C11</f>
        <v>0</v>
      </c>
      <c r="D12" s="321">
        <f>D11</f>
        <v>0</v>
      </c>
    </row>
    <row r="13" spans="1:18" x14ac:dyDescent="0.2">
      <c r="A13" s="616" t="s">
        <v>4</v>
      </c>
      <c r="B13" s="322" t="s">
        <v>354</v>
      </c>
      <c r="C13" s="247"/>
      <c r="D13" s="242"/>
      <c r="F13" s="237"/>
      <c r="G13" s="323"/>
    </row>
    <row r="14" spans="1:18" x14ac:dyDescent="0.2">
      <c r="A14" s="616" t="s">
        <v>6</v>
      </c>
      <c r="B14" s="324" t="s">
        <v>355</v>
      </c>
      <c r="C14" s="247">
        <v>765000</v>
      </c>
      <c r="D14" s="248">
        <f>C14</f>
        <v>765000</v>
      </c>
      <c r="F14" s="325"/>
      <c r="G14" s="238"/>
    </row>
    <row r="15" spans="1:18" x14ac:dyDescent="0.2">
      <c r="A15" s="616" t="s">
        <v>8</v>
      </c>
      <c r="B15" s="324" t="s">
        <v>356</v>
      </c>
      <c r="C15" s="247">
        <v>3768000</v>
      </c>
      <c r="D15" s="248">
        <f t="shared" ref="D15:D23" si="0">C15</f>
        <v>3768000</v>
      </c>
      <c r="F15" s="237"/>
      <c r="G15" s="323"/>
    </row>
    <row r="16" spans="1:18" x14ac:dyDescent="0.2">
      <c r="A16" s="616" t="s">
        <v>22</v>
      </c>
      <c r="B16" s="324" t="s">
        <v>357</v>
      </c>
      <c r="C16" s="247">
        <v>2944000</v>
      </c>
      <c r="D16" s="248">
        <f t="shared" si="0"/>
        <v>2944000</v>
      </c>
      <c r="F16" s="237"/>
      <c r="G16" s="323"/>
    </row>
    <row r="17" spans="1:7" x14ac:dyDescent="0.2">
      <c r="A17" s="616" t="s">
        <v>24</v>
      </c>
      <c r="B17" s="324" t="s">
        <v>358</v>
      </c>
      <c r="C17" s="247">
        <v>471000</v>
      </c>
      <c r="D17" s="248">
        <f t="shared" si="0"/>
        <v>471000</v>
      </c>
      <c r="F17" s="237"/>
      <c r="G17" s="323"/>
    </row>
    <row r="18" spans="1:7" ht="18" customHeight="1" x14ac:dyDescent="0.2">
      <c r="A18" s="616" t="s">
        <v>25</v>
      </c>
      <c r="B18" s="236" t="s">
        <v>359</v>
      </c>
      <c r="C18" s="247">
        <v>200000</v>
      </c>
      <c r="D18" s="248">
        <f t="shared" si="0"/>
        <v>200000</v>
      </c>
      <c r="E18" s="326"/>
      <c r="F18" s="237"/>
      <c r="G18" s="323"/>
    </row>
    <row r="19" spans="1:7" x14ac:dyDescent="0.2">
      <c r="A19" s="616" t="s">
        <v>27</v>
      </c>
      <c r="B19" s="324" t="s">
        <v>360</v>
      </c>
      <c r="C19" s="247">
        <v>0</v>
      </c>
      <c r="D19" s="248">
        <f t="shared" si="0"/>
        <v>0</v>
      </c>
      <c r="F19" s="237"/>
      <c r="G19" s="323"/>
    </row>
    <row r="20" spans="1:7" ht="25.5" x14ac:dyDescent="0.2">
      <c r="A20" s="616" t="s">
        <v>28</v>
      </c>
      <c r="B20" s="236" t="s">
        <v>361</v>
      </c>
      <c r="C20" s="247">
        <v>196000</v>
      </c>
      <c r="D20" s="248">
        <f t="shared" si="0"/>
        <v>196000</v>
      </c>
      <c r="F20" s="327"/>
      <c r="G20" s="328"/>
    </row>
    <row r="21" spans="1:7" ht="25.5" x14ac:dyDescent="0.2">
      <c r="A21" s="616" t="s">
        <v>29</v>
      </c>
      <c r="B21" s="236" t="s">
        <v>362</v>
      </c>
      <c r="C21" s="247">
        <v>2000000</v>
      </c>
      <c r="D21" s="248">
        <f t="shared" si="0"/>
        <v>2000000</v>
      </c>
      <c r="F21" s="327"/>
      <c r="G21" s="328"/>
    </row>
    <row r="22" spans="1:7" x14ac:dyDescent="0.2">
      <c r="A22" s="616" t="s">
        <v>31</v>
      </c>
      <c r="B22" s="324" t="s">
        <v>363</v>
      </c>
      <c r="C22" s="247">
        <v>700000</v>
      </c>
      <c r="D22" s="248">
        <f t="shared" si="0"/>
        <v>700000</v>
      </c>
      <c r="F22" s="327"/>
      <c r="G22" s="328"/>
    </row>
    <row r="23" spans="1:7" x14ac:dyDescent="0.2">
      <c r="A23" s="616" t="s">
        <v>32</v>
      </c>
      <c r="B23" s="324" t="s">
        <v>364</v>
      </c>
      <c r="C23" s="247">
        <v>228000</v>
      </c>
      <c r="D23" s="248">
        <f t="shared" si="0"/>
        <v>228000</v>
      </c>
      <c r="F23" s="327"/>
      <c r="G23" s="328"/>
    </row>
    <row r="24" spans="1:7" x14ac:dyDescent="0.2">
      <c r="A24" s="616" t="s">
        <v>35</v>
      </c>
      <c r="B24" s="324" t="s">
        <v>365</v>
      </c>
      <c r="C24" s="247">
        <v>15000000</v>
      </c>
      <c r="D24" s="248">
        <v>20685000</v>
      </c>
      <c r="F24" s="327"/>
      <c r="G24" s="261"/>
    </row>
    <row r="25" spans="1:7" x14ac:dyDescent="0.2">
      <c r="A25" s="616" t="s">
        <v>37</v>
      </c>
      <c r="B25" s="324" t="s">
        <v>569</v>
      </c>
      <c r="C25" s="247">
        <v>500000</v>
      </c>
      <c r="D25" s="248">
        <f>C25</f>
        <v>500000</v>
      </c>
      <c r="F25" s="327"/>
      <c r="G25" s="328"/>
    </row>
    <row r="26" spans="1:7" ht="25.5" x14ac:dyDescent="0.2">
      <c r="A26" s="616" t="s">
        <v>72</v>
      </c>
      <c r="B26" s="236" t="s">
        <v>366</v>
      </c>
      <c r="C26" s="247">
        <v>100000</v>
      </c>
      <c r="D26" s="248">
        <f t="shared" ref="D26:D27" si="1">C26</f>
        <v>100000</v>
      </c>
      <c r="F26" s="328"/>
      <c r="G26" s="261"/>
    </row>
    <row r="27" spans="1:7" ht="38.25" x14ac:dyDescent="0.2">
      <c r="A27" s="616" t="s">
        <v>40</v>
      </c>
      <c r="B27" s="329" t="s">
        <v>367</v>
      </c>
      <c r="C27" s="330"/>
      <c r="D27" s="248">
        <f t="shared" si="1"/>
        <v>0</v>
      </c>
      <c r="F27" s="327"/>
      <c r="G27" s="261"/>
    </row>
    <row r="28" spans="1:7" hidden="1" x14ac:dyDescent="0.2">
      <c r="A28" s="616" t="s">
        <v>42</v>
      </c>
      <c r="B28" s="247"/>
      <c r="C28" s="247"/>
      <c r="D28" s="242"/>
      <c r="F28" s="328"/>
      <c r="G28" s="261"/>
    </row>
    <row r="29" spans="1:7" hidden="1" x14ac:dyDescent="0.2">
      <c r="A29" s="616" t="s">
        <v>158</v>
      </c>
      <c r="B29" s="324"/>
      <c r="C29" s="330"/>
      <c r="D29" s="242"/>
      <c r="F29" s="327"/>
      <c r="G29" s="264"/>
    </row>
    <row r="30" spans="1:7" hidden="1" x14ac:dyDescent="0.2">
      <c r="A30" s="616" t="s">
        <v>159</v>
      </c>
      <c r="B30" s="324"/>
      <c r="C30" s="330"/>
      <c r="D30" s="242"/>
      <c r="F30" s="327"/>
      <c r="G30" s="264"/>
    </row>
    <row r="31" spans="1:7" hidden="1" x14ac:dyDescent="0.2">
      <c r="A31" s="616" t="s">
        <v>160</v>
      </c>
      <c r="B31" s="324"/>
      <c r="C31" s="330"/>
      <c r="D31" s="242"/>
      <c r="F31" s="327"/>
      <c r="G31" s="264"/>
    </row>
    <row r="32" spans="1:7" hidden="1" x14ac:dyDescent="0.2">
      <c r="A32" s="616" t="s">
        <v>161</v>
      </c>
      <c r="B32" s="324"/>
      <c r="C32" s="330"/>
      <c r="D32" s="242"/>
      <c r="F32" s="327"/>
      <c r="G32" s="264"/>
    </row>
    <row r="33" spans="1:7" hidden="1" x14ac:dyDescent="0.2">
      <c r="A33" s="616" t="s">
        <v>162</v>
      </c>
      <c r="B33" s="331"/>
      <c r="C33" s="247"/>
      <c r="D33" s="242"/>
      <c r="F33" s="327"/>
      <c r="G33" s="264"/>
    </row>
    <row r="34" spans="1:7" x14ac:dyDescent="0.2">
      <c r="A34" s="616" t="s">
        <v>163</v>
      </c>
      <c r="B34" s="331"/>
      <c r="C34" s="247"/>
      <c r="D34" s="242"/>
      <c r="F34" s="327"/>
      <c r="G34" s="264"/>
    </row>
    <row r="35" spans="1:7" s="332" customFormat="1" x14ac:dyDescent="0.2">
      <c r="A35" s="616" t="s">
        <v>164</v>
      </c>
      <c r="B35" s="243" t="s">
        <v>79</v>
      </c>
      <c r="C35" s="243">
        <f>SUM(C14:C28)</f>
        <v>26872000</v>
      </c>
      <c r="D35" s="244">
        <f>SUM(D14:D34)</f>
        <v>32557000</v>
      </c>
    </row>
    <row r="36" spans="1:7" s="332" customFormat="1" x14ac:dyDescent="0.2">
      <c r="A36" s="616" t="s">
        <v>165</v>
      </c>
      <c r="B36" s="243"/>
      <c r="C36" s="243"/>
      <c r="D36" s="321"/>
    </row>
    <row r="37" spans="1:7" s="332" customFormat="1" x14ac:dyDescent="0.2">
      <c r="A37" s="616" t="s">
        <v>166</v>
      </c>
      <c r="B37" s="243" t="s">
        <v>368</v>
      </c>
      <c r="C37" s="243">
        <f>C38+C39</f>
        <v>0</v>
      </c>
      <c r="D37" s="321"/>
    </row>
    <row r="38" spans="1:7" s="332" customFormat="1" x14ac:dyDescent="0.2">
      <c r="A38" s="616" t="s">
        <v>167</v>
      </c>
      <c r="B38" s="247"/>
      <c r="C38" s="243"/>
      <c r="D38" s="242"/>
    </row>
    <row r="39" spans="1:7" s="332" customFormat="1" x14ac:dyDescent="0.2">
      <c r="A39" s="616" t="s">
        <v>168</v>
      </c>
      <c r="B39" s="247"/>
      <c r="C39" s="247"/>
      <c r="D39" s="242"/>
    </row>
    <row r="40" spans="1:7" s="332" customFormat="1" x14ac:dyDescent="0.2">
      <c r="A40" s="616" t="s">
        <v>169</v>
      </c>
      <c r="B40" s="236"/>
      <c r="C40" s="330"/>
      <c r="D40" s="242"/>
    </row>
    <row r="41" spans="1:7" s="332" customFormat="1" ht="15.75" customHeight="1" x14ac:dyDescent="0.2">
      <c r="A41" s="616" t="s">
        <v>170</v>
      </c>
      <c r="B41" s="243" t="s">
        <v>369</v>
      </c>
      <c r="C41" s="243">
        <f>C35+C37+C12</f>
        <v>26872000</v>
      </c>
      <c r="D41" s="244">
        <f>D35+D37+D12</f>
        <v>32557000</v>
      </c>
      <c r="F41" s="333"/>
    </row>
    <row r="42" spans="1:7" s="332" customFormat="1" ht="15.75" customHeight="1" x14ac:dyDescent="0.2">
      <c r="A42" s="616" t="s">
        <v>171</v>
      </c>
      <c r="B42" s="243"/>
      <c r="C42" s="243"/>
      <c r="D42" s="321"/>
      <c r="F42" s="333"/>
    </row>
    <row r="43" spans="1:7" ht="16.5" customHeight="1" x14ac:dyDescent="0.2">
      <c r="A43" s="616" t="s">
        <v>535</v>
      </c>
      <c r="B43" s="243" t="s">
        <v>370</v>
      </c>
      <c r="C43" s="247"/>
      <c r="D43" s="242"/>
    </row>
    <row r="44" spans="1:7" ht="13.5" thickBot="1" x14ac:dyDescent="0.25">
      <c r="A44" s="334"/>
      <c r="B44" s="249" t="s">
        <v>371</v>
      </c>
      <c r="C44" s="249">
        <f>C41</f>
        <v>26872000</v>
      </c>
      <c r="D44" s="249">
        <f>D41</f>
        <v>32557000</v>
      </c>
    </row>
    <row r="45" spans="1:7" x14ac:dyDescent="0.2">
      <c r="A45" s="261"/>
      <c r="B45" s="256"/>
      <c r="C45" s="256"/>
    </row>
    <row r="46" spans="1:7" x14ac:dyDescent="0.2">
      <c r="A46" s="261"/>
      <c r="B46" s="335"/>
      <c r="C46" s="256"/>
    </row>
    <row r="47" spans="1:7" x14ac:dyDescent="0.2">
      <c r="A47" s="261"/>
      <c r="B47" s="335"/>
      <c r="C47" s="256"/>
    </row>
    <row r="48" spans="1:7" x14ac:dyDescent="0.2">
      <c r="A48" s="261"/>
      <c r="B48" s="335"/>
      <c r="C48" s="256"/>
    </row>
    <row r="49" spans="1:3" x14ac:dyDescent="0.2">
      <c r="A49" s="261"/>
      <c r="B49" s="335"/>
      <c r="C49" s="256"/>
    </row>
    <row r="50" spans="1:3" x14ac:dyDescent="0.2">
      <c r="A50" s="261"/>
      <c r="B50" s="335"/>
      <c r="C50" s="256"/>
    </row>
    <row r="51" spans="1:3" x14ac:dyDescent="0.2">
      <c r="A51" s="261"/>
      <c r="B51" s="258"/>
      <c r="C51" s="258"/>
    </row>
    <row r="52" spans="1:3" x14ac:dyDescent="0.2">
      <c r="A52" s="261"/>
      <c r="B52" s="336"/>
      <c r="C52" s="256"/>
    </row>
    <row r="53" spans="1:3" x14ac:dyDescent="0.2">
      <c r="A53" s="261"/>
      <c r="B53" s="256"/>
      <c r="C53" s="256"/>
    </row>
    <row r="54" spans="1:3" x14ac:dyDescent="0.2">
      <c r="A54" s="264"/>
      <c r="B54" s="258"/>
      <c r="C54" s="258"/>
    </row>
    <row r="55" spans="1:3" x14ac:dyDescent="0.2">
      <c r="A55" s="261"/>
      <c r="B55" s="256"/>
      <c r="C55" s="256"/>
    </row>
    <row r="56" spans="1:3" x14ac:dyDescent="0.2">
      <c r="A56" s="261"/>
      <c r="B56" s="256"/>
      <c r="C56" s="256"/>
    </row>
    <row r="57" spans="1:3" x14ac:dyDescent="0.2">
      <c r="A57" s="261"/>
      <c r="B57" s="336"/>
      <c r="C57" s="256"/>
    </row>
    <row r="58" spans="1:3" hidden="1" x14ac:dyDescent="0.2">
      <c r="A58" s="261"/>
      <c r="B58" s="256"/>
      <c r="C58" s="256"/>
    </row>
    <row r="59" spans="1:3" x14ac:dyDescent="0.2">
      <c r="A59" s="259"/>
      <c r="B59" s="254"/>
      <c r="C59" s="256"/>
    </row>
    <row r="60" spans="1:3" x14ac:dyDescent="0.2">
      <c r="B60" s="336"/>
      <c r="C60" s="336"/>
    </row>
    <row r="61" spans="1:3" x14ac:dyDescent="0.2">
      <c r="A61" s="259"/>
      <c r="B61" s="254"/>
      <c r="C61" s="254"/>
    </row>
    <row r="62" spans="1:3" x14ac:dyDescent="0.2">
      <c r="A62" s="259"/>
      <c r="B62" s="254"/>
      <c r="C62" s="254"/>
    </row>
    <row r="63" spans="1:3" x14ac:dyDescent="0.2">
      <c r="A63" s="259"/>
      <c r="B63" s="254"/>
      <c r="C63" s="254"/>
    </row>
    <row r="64" spans="1:3" x14ac:dyDescent="0.2">
      <c r="A64" s="259"/>
      <c r="B64" s="254"/>
      <c r="C64" s="337"/>
    </row>
    <row r="65" spans="1:3" x14ac:dyDescent="0.2">
      <c r="A65" s="338"/>
      <c r="B65" s="339"/>
      <c r="C65" s="254"/>
    </row>
    <row r="66" spans="1:3" x14ac:dyDescent="0.2">
      <c r="A66" s="259"/>
      <c r="B66" s="254"/>
      <c r="C66" s="254"/>
    </row>
    <row r="67" spans="1:3" x14ac:dyDescent="0.2">
      <c r="A67" s="340"/>
      <c r="B67" s="341"/>
      <c r="C67" s="342"/>
    </row>
    <row r="68" spans="1:3" x14ac:dyDescent="0.2">
      <c r="A68" s="340"/>
      <c r="B68" s="342"/>
      <c r="C68" s="342"/>
    </row>
    <row r="69" spans="1:3" x14ac:dyDescent="0.2">
      <c r="A69" s="340"/>
      <c r="B69" s="342"/>
      <c r="C69" s="342"/>
    </row>
    <row r="70" spans="1:3" x14ac:dyDescent="0.2">
      <c r="A70" s="340"/>
      <c r="B70" s="342"/>
      <c r="C70" s="342"/>
    </row>
    <row r="71" spans="1:3" x14ac:dyDescent="0.2">
      <c r="A71" s="286"/>
      <c r="B71" s="343"/>
      <c r="C71" s="343"/>
    </row>
    <row r="72" spans="1:3" x14ac:dyDescent="0.2">
      <c r="A72" s="286"/>
      <c r="B72" s="343"/>
      <c r="C72" s="343"/>
    </row>
    <row r="73" spans="1:3" x14ac:dyDescent="0.2">
      <c r="A73" s="286"/>
      <c r="B73" s="343"/>
      <c r="C73" s="343"/>
    </row>
    <row r="74" spans="1:3" x14ac:dyDescent="0.2">
      <c r="A74" s="286"/>
      <c r="B74" s="343"/>
      <c r="C74" s="343"/>
    </row>
    <row r="75" spans="1:3" x14ac:dyDescent="0.2">
      <c r="A75" s="286"/>
      <c r="B75" s="343"/>
      <c r="C75" s="343"/>
    </row>
    <row r="76" spans="1:3" x14ac:dyDescent="0.2">
      <c r="A76" s="286"/>
      <c r="B76" s="343"/>
      <c r="C76" s="343"/>
    </row>
    <row r="77" spans="1:3" x14ac:dyDescent="0.2">
      <c r="A77" s="309"/>
      <c r="B77" s="344"/>
      <c r="C77" s="344"/>
    </row>
    <row r="78" spans="1:3" x14ac:dyDescent="0.2">
      <c r="A78" s="309"/>
      <c r="B78" s="344"/>
      <c r="C78" s="344"/>
    </row>
    <row r="79" spans="1:3" x14ac:dyDescent="0.2">
      <c r="A79" s="309"/>
      <c r="B79" s="309"/>
      <c r="C79" s="309"/>
    </row>
    <row r="80" spans="1:3" x14ac:dyDescent="0.2">
      <c r="A80" s="309"/>
      <c r="B80" s="309"/>
      <c r="C80" s="309"/>
    </row>
    <row r="81" spans="3:3" x14ac:dyDescent="0.2">
      <c r="C81" s="309"/>
    </row>
    <row r="82" spans="3:3" x14ac:dyDescent="0.2">
      <c r="C82" s="309"/>
    </row>
  </sheetData>
  <mergeCells count="4">
    <mergeCell ref="A1:D1"/>
    <mergeCell ref="A3:D3"/>
    <mergeCell ref="A5:D5"/>
    <mergeCell ref="C7:D7"/>
  </mergeCells>
  <printOptions horizontalCentered="1"/>
  <pageMargins left="0.74803149606299213" right="0.15748031496062992" top="0.19685039370078741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6AB1-5B26-4E7A-B2FC-409956A4CDC3}">
  <sheetPr>
    <tabColor rgb="FFFFC000"/>
  </sheetPr>
  <dimension ref="A1:AW55"/>
  <sheetViews>
    <sheetView view="pageLayout" zoomScaleNormal="100" workbookViewId="0">
      <selection sqref="A1:D1"/>
    </sheetView>
  </sheetViews>
  <sheetFormatPr defaultRowHeight="12" x14ac:dyDescent="0.2"/>
  <cols>
    <col min="1" max="1" width="6.42578125" style="399" customWidth="1"/>
    <col min="2" max="2" width="50.28515625" style="391" customWidth="1"/>
    <col min="3" max="3" width="12.7109375" style="390" customWidth="1"/>
    <col min="4" max="4" width="14.5703125" style="218" customWidth="1"/>
    <col min="5" max="16384" width="9.140625" style="357"/>
  </cols>
  <sheetData>
    <row r="1" spans="1:49" s="218" customFormat="1" ht="27.75" customHeight="1" x14ac:dyDescent="0.2">
      <c r="A1" s="812" t="s">
        <v>595</v>
      </c>
      <c r="B1" s="813"/>
      <c r="C1" s="813"/>
      <c r="D1" s="813"/>
      <c r="E1" s="345"/>
      <c r="F1" s="345"/>
      <c r="G1" s="345"/>
      <c r="H1" s="345"/>
      <c r="I1" s="345"/>
      <c r="J1" s="346"/>
      <c r="K1" s="346"/>
      <c r="L1" s="346"/>
      <c r="M1" s="346"/>
      <c r="N1" s="346"/>
      <c r="O1" s="346"/>
      <c r="P1" s="346"/>
      <c r="Q1" s="346"/>
      <c r="R1" s="346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  <c r="AO1" s="347"/>
      <c r="AP1" s="347"/>
      <c r="AQ1" s="347"/>
      <c r="AR1" s="347"/>
      <c r="AS1" s="347"/>
      <c r="AT1" s="347"/>
      <c r="AU1" s="347"/>
      <c r="AV1" s="347"/>
      <c r="AW1" s="347"/>
    </row>
    <row r="2" spans="1:49" s="218" customFormat="1" x14ac:dyDescent="0.2">
      <c r="A2" s="219"/>
      <c r="B2" s="220"/>
      <c r="C2" s="220"/>
      <c r="D2" s="220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347"/>
      <c r="AN2" s="347"/>
      <c r="AO2" s="347"/>
      <c r="AP2" s="347"/>
      <c r="AQ2" s="347"/>
      <c r="AR2" s="347"/>
      <c r="AS2" s="347"/>
      <c r="AT2" s="347"/>
      <c r="AU2" s="347"/>
      <c r="AV2" s="347"/>
      <c r="AW2" s="347"/>
    </row>
    <row r="3" spans="1:49" s="218" customFormat="1" ht="28.5" customHeight="1" x14ac:dyDescent="0.2">
      <c r="A3" s="814" t="s">
        <v>553</v>
      </c>
      <c r="B3" s="815"/>
      <c r="C3" s="815"/>
      <c r="D3" s="815"/>
      <c r="E3" s="349"/>
      <c r="F3" s="349"/>
      <c r="G3" s="349"/>
      <c r="H3" s="349"/>
      <c r="I3" s="349"/>
      <c r="J3" s="346"/>
      <c r="K3" s="346"/>
      <c r="L3" s="346"/>
      <c r="M3" s="346"/>
      <c r="N3" s="346"/>
      <c r="O3" s="346"/>
      <c r="P3" s="346"/>
      <c r="Q3" s="346"/>
      <c r="R3" s="346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7"/>
      <c r="AK3" s="347"/>
      <c r="AL3" s="347"/>
      <c r="AM3" s="347"/>
      <c r="AN3" s="347"/>
      <c r="AO3" s="347"/>
      <c r="AP3" s="347"/>
      <c r="AQ3" s="347"/>
      <c r="AR3" s="347"/>
      <c r="AS3" s="347"/>
      <c r="AT3" s="347"/>
      <c r="AU3" s="347"/>
      <c r="AV3" s="347"/>
      <c r="AW3" s="347"/>
    </row>
    <row r="4" spans="1:49" s="218" customFormat="1" x14ac:dyDescent="0.2">
      <c r="A4" s="223"/>
      <c r="B4" s="224"/>
      <c r="C4" s="224"/>
      <c r="D4" s="224"/>
      <c r="E4" s="350"/>
      <c r="F4" s="350"/>
      <c r="G4" s="350"/>
      <c r="H4" s="350"/>
      <c r="I4" s="350"/>
      <c r="J4" s="351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47"/>
      <c r="AQ4" s="347"/>
      <c r="AR4" s="347"/>
      <c r="AS4" s="347"/>
      <c r="AT4" s="347"/>
      <c r="AU4" s="347"/>
      <c r="AV4" s="347"/>
      <c r="AW4" s="347"/>
    </row>
    <row r="5" spans="1:49" s="218" customFormat="1" ht="33" customHeight="1" x14ac:dyDescent="0.25">
      <c r="A5" s="816" t="s">
        <v>372</v>
      </c>
      <c r="B5" s="817"/>
      <c r="C5" s="817"/>
      <c r="D5" s="817"/>
      <c r="E5" s="352"/>
      <c r="F5" s="352"/>
      <c r="G5" s="352"/>
      <c r="H5" s="352"/>
      <c r="I5" s="352"/>
      <c r="J5" s="353"/>
      <c r="K5" s="353"/>
      <c r="L5" s="353"/>
      <c r="M5" s="353"/>
      <c r="N5" s="353"/>
      <c r="O5" s="353"/>
      <c r="P5" s="353"/>
      <c r="Q5" s="353"/>
      <c r="R5" s="353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  <c r="AQ5" s="347"/>
      <c r="AR5" s="347"/>
      <c r="AS5" s="347"/>
      <c r="AT5" s="347"/>
      <c r="AU5" s="347"/>
      <c r="AV5" s="347"/>
      <c r="AW5" s="347"/>
    </row>
    <row r="6" spans="1:49" s="218" customFormat="1" x14ac:dyDescent="0.2">
      <c r="A6" s="223"/>
      <c r="B6" s="224"/>
      <c r="C6" s="224"/>
      <c r="D6" s="224"/>
      <c r="E6" s="350"/>
      <c r="F6" s="350"/>
      <c r="G6" s="350"/>
      <c r="H6" s="350"/>
      <c r="I6" s="350"/>
      <c r="J6" s="351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  <c r="AN6" s="347"/>
      <c r="AO6" s="347"/>
      <c r="AP6" s="347"/>
      <c r="AQ6" s="347"/>
      <c r="AR6" s="347"/>
      <c r="AS6" s="347"/>
      <c r="AT6" s="347"/>
      <c r="AU6" s="347"/>
      <c r="AV6" s="347"/>
      <c r="AW6" s="347"/>
    </row>
    <row r="7" spans="1:49" s="218" customFormat="1" ht="12.75" x14ac:dyDescent="0.2">
      <c r="A7" s="228"/>
      <c r="B7" s="228"/>
      <c r="C7" s="807" t="s">
        <v>518</v>
      </c>
      <c r="D7" s="807"/>
      <c r="E7" s="354"/>
      <c r="F7" s="354"/>
      <c r="G7" s="354"/>
      <c r="H7" s="354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7"/>
      <c r="T7" s="347"/>
      <c r="U7" s="347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47"/>
      <c r="AK7" s="347"/>
      <c r="AL7" s="347"/>
      <c r="AM7" s="347"/>
      <c r="AN7" s="347"/>
      <c r="AO7" s="347"/>
      <c r="AP7" s="347"/>
      <c r="AQ7" s="347"/>
      <c r="AR7" s="347"/>
      <c r="AS7" s="347"/>
      <c r="AT7" s="347"/>
      <c r="AU7" s="347"/>
      <c r="AV7" s="347"/>
      <c r="AW7" s="347"/>
    </row>
    <row r="8" spans="1:49" s="218" customFormat="1" ht="12.75" x14ac:dyDescent="0.2">
      <c r="A8" s="600" t="s">
        <v>68</v>
      </c>
      <c r="B8" s="600" t="s">
        <v>76</v>
      </c>
      <c r="C8" s="600" t="s">
        <v>69</v>
      </c>
      <c r="D8" s="600" t="s">
        <v>70</v>
      </c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346"/>
      <c r="R8" s="346"/>
      <c r="S8" s="347"/>
      <c r="T8" s="347"/>
      <c r="U8" s="347"/>
      <c r="V8" s="347"/>
      <c r="W8" s="347"/>
      <c r="X8" s="347"/>
      <c r="Y8" s="347"/>
      <c r="Z8" s="347"/>
      <c r="AA8" s="347"/>
      <c r="AB8" s="347"/>
      <c r="AC8" s="347"/>
      <c r="AD8" s="347"/>
      <c r="AE8" s="347"/>
      <c r="AF8" s="347"/>
      <c r="AG8" s="347"/>
      <c r="AH8" s="347"/>
      <c r="AI8" s="347"/>
      <c r="AJ8" s="347"/>
      <c r="AK8" s="347"/>
      <c r="AL8" s="347"/>
      <c r="AM8" s="347"/>
      <c r="AN8" s="347"/>
      <c r="AO8" s="347"/>
      <c r="AP8" s="347"/>
      <c r="AQ8" s="347"/>
      <c r="AR8" s="347"/>
      <c r="AS8" s="347"/>
      <c r="AT8" s="347"/>
      <c r="AU8" s="347"/>
      <c r="AV8" s="347"/>
      <c r="AW8" s="347"/>
    </row>
    <row r="9" spans="1:49" ht="36" x14ac:dyDescent="0.2">
      <c r="A9" s="596" t="s">
        <v>352</v>
      </c>
      <c r="B9" s="597" t="s">
        <v>373</v>
      </c>
      <c r="C9" s="598" t="s">
        <v>531</v>
      </c>
      <c r="D9" s="599" t="s">
        <v>532</v>
      </c>
      <c r="E9" s="355"/>
      <c r="F9" s="355"/>
      <c r="G9" s="355"/>
      <c r="H9" s="355"/>
      <c r="I9" s="356"/>
      <c r="J9" s="356"/>
      <c r="K9" s="356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6"/>
      <c r="Z9" s="356"/>
      <c r="AA9" s="356"/>
      <c r="AB9" s="356"/>
      <c r="AC9" s="356"/>
      <c r="AD9" s="356"/>
      <c r="AE9" s="356"/>
      <c r="AF9" s="356"/>
      <c r="AG9" s="356"/>
      <c r="AH9" s="356"/>
      <c r="AI9" s="356"/>
      <c r="AJ9" s="356"/>
      <c r="AK9" s="356"/>
      <c r="AL9" s="356"/>
      <c r="AM9" s="356"/>
      <c r="AN9" s="356"/>
      <c r="AO9" s="356"/>
      <c r="AP9" s="356"/>
      <c r="AQ9" s="356"/>
      <c r="AR9" s="356"/>
      <c r="AS9" s="356"/>
      <c r="AT9" s="356"/>
      <c r="AU9" s="356"/>
      <c r="AV9" s="356"/>
      <c r="AW9" s="356"/>
    </row>
    <row r="10" spans="1:49" ht="24" x14ac:dyDescent="0.2">
      <c r="A10" s="358">
        <v>1</v>
      </c>
      <c r="B10" s="359" t="s">
        <v>523</v>
      </c>
      <c r="C10" s="360">
        <v>6216792</v>
      </c>
      <c r="D10" s="361">
        <f>C10</f>
        <v>6216792</v>
      </c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6"/>
      <c r="AG10" s="356"/>
      <c r="AH10" s="356"/>
      <c r="AI10" s="356"/>
      <c r="AJ10" s="356"/>
      <c r="AK10" s="356"/>
      <c r="AL10" s="356"/>
      <c r="AM10" s="356"/>
      <c r="AN10" s="356"/>
      <c r="AO10" s="356"/>
      <c r="AP10" s="356"/>
      <c r="AQ10" s="356"/>
      <c r="AR10" s="356"/>
      <c r="AS10" s="356"/>
      <c r="AT10" s="356"/>
      <c r="AU10" s="356"/>
      <c r="AV10" s="356"/>
      <c r="AW10" s="356"/>
    </row>
    <row r="11" spans="1:49" x14ac:dyDescent="0.2">
      <c r="A11" s="358">
        <v>2</v>
      </c>
      <c r="B11" s="359" t="s">
        <v>524</v>
      </c>
      <c r="C11" s="360">
        <v>9360550</v>
      </c>
      <c r="D11" s="361">
        <f t="shared" ref="D11:D13" si="0">C11</f>
        <v>9360550</v>
      </c>
      <c r="E11" s="356"/>
      <c r="F11" s="356"/>
      <c r="G11" s="356"/>
      <c r="H11" s="356"/>
      <c r="I11" s="356"/>
      <c r="J11" s="356"/>
      <c r="K11" s="356"/>
      <c r="L11" s="356"/>
      <c r="M11" s="356"/>
      <c r="N11" s="356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  <c r="AC11" s="356"/>
      <c r="AD11" s="356"/>
      <c r="AE11" s="356"/>
      <c r="AF11" s="356"/>
      <c r="AG11" s="356"/>
      <c r="AH11" s="356"/>
      <c r="AI11" s="356"/>
      <c r="AJ11" s="356"/>
      <c r="AK11" s="356"/>
      <c r="AL11" s="356"/>
      <c r="AM11" s="356"/>
      <c r="AN11" s="356"/>
      <c r="AO11" s="356"/>
      <c r="AP11" s="356"/>
      <c r="AQ11" s="356"/>
      <c r="AR11" s="356"/>
      <c r="AS11" s="356"/>
      <c r="AT11" s="356"/>
      <c r="AU11" s="356"/>
      <c r="AV11" s="356"/>
      <c r="AW11" s="356"/>
    </row>
    <row r="12" spans="1:49" x14ac:dyDescent="0.2">
      <c r="A12" s="358">
        <v>3</v>
      </c>
      <c r="B12" s="359" t="s">
        <v>525</v>
      </c>
      <c r="C12" s="360">
        <v>31129316</v>
      </c>
      <c r="D12" s="361">
        <f t="shared" si="0"/>
        <v>31129316</v>
      </c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356"/>
      <c r="Q12" s="356"/>
      <c r="R12" s="356"/>
      <c r="S12" s="356"/>
      <c r="T12" s="356"/>
      <c r="U12" s="356"/>
      <c r="V12" s="356"/>
      <c r="W12" s="356"/>
      <c r="X12" s="356"/>
      <c r="Y12" s="356"/>
      <c r="Z12" s="356"/>
      <c r="AA12" s="356"/>
      <c r="AB12" s="356"/>
      <c r="AC12" s="356"/>
      <c r="AD12" s="356"/>
      <c r="AE12" s="356"/>
      <c r="AF12" s="356"/>
      <c r="AG12" s="356"/>
      <c r="AH12" s="356"/>
      <c r="AI12" s="356"/>
      <c r="AJ12" s="356"/>
      <c r="AK12" s="356"/>
      <c r="AL12" s="356"/>
      <c r="AM12" s="356"/>
      <c r="AN12" s="356"/>
      <c r="AO12" s="356"/>
      <c r="AP12" s="356"/>
      <c r="AQ12" s="356"/>
      <c r="AR12" s="356"/>
      <c r="AS12" s="356"/>
      <c r="AT12" s="356"/>
      <c r="AU12" s="356"/>
      <c r="AV12" s="356"/>
      <c r="AW12" s="356"/>
    </row>
    <row r="13" spans="1:49" x14ac:dyDescent="0.2">
      <c r="A13" s="358">
        <v>4</v>
      </c>
      <c r="B13" s="362" t="s">
        <v>526</v>
      </c>
      <c r="C13" s="360">
        <v>2780621</v>
      </c>
      <c r="D13" s="361">
        <f t="shared" si="0"/>
        <v>2780621</v>
      </c>
    </row>
    <row r="14" spans="1:49" x14ac:dyDescent="0.2">
      <c r="A14" s="363"/>
      <c r="B14" s="364" t="s">
        <v>374</v>
      </c>
      <c r="C14" s="365">
        <f>SUM(C10:C13)</f>
        <v>49487279</v>
      </c>
      <c r="D14" s="366">
        <f>SUM(D10:D13)</f>
        <v>49487279</v>
      </c>
    </row>
    <row r="15" spans="1:49" x14ac:dyDescent="0.2">
      <c r="A15" s="363"/>
      <c r="B15" s="364"/>
      <c r="C15" s="365"/>
      <c r="D15" s="366"/>
    </row>
    <row r="16" spans="1:49" x14ac:dyDescent="0.2">
      <c r="A16" s="363" t="s">
        <v>344</v>
      </c>
      <c r="B16" s="364" t="s">
        <v>375</v>
      </c>
      <c r="C16" s="365">
        <f>C17</f>
        <v>29977216</v>
      </c>
      <c r="D16" s="365">
        <f>D17</f>
        <v>23792216</v>
      </c>
    </row>
    <row r="17" spans="1:5" x14ac:dyDescent="0.2">
      <c r="A17" s="358">
        <v>1</v>
      </c>
      <c r="B17" s="359" t="s">
        <v>527</v>
      </c>
      <c r="C17" s="360">
        <f>24285051+5692165</f>
        <v>29977216</v>
      </c>
      <c r="D17" s="361">
        <f>C17-6185000</f>
        <v>23792216</v>
      </c>
    </row>
    <row r="18" spans="1:5" x14ac:dyDescent="0.2">
      <c r="A18" s="358"/>
      <c r="B18" s="359"/>
      <c r="C18" s="360"/>
      <c r="D18" s="361"/>
    </row>
    <row r="19" spans="1:5" x14ac:dyDescent="0.2">
      <c r="A19" s="358"/>
      <c r="B19" s="359"/>
      <c r="C19" s="360"/>
      <c r="D19" s="361"/>
    </row>
    <row r="20" spans="1:5" x14ac:dyDescent="0.2">
      <c r="A20" s="358">
        <v>1</v>
      </c>
      <c r="B20" s="367" t="s">
        <v>528</v>
      </c>
      <c r="C20" s="360">
        <v>40019663</v>
      </c>
      <c r="D20" s="361">
        <f>C20</f>
        <v>40019663</v>
      </c>
      <c r="E20" s="356"/>
    </row>
    <row r="21" spans="1:5" x14ac:dyDescent="0.2">
      <c r="A21" s="358"/>
      <c r="B21" s="364" t="s">
        <v>376</v>
      </c>
      <c r="C21" s="365">
        <f>SUM(C20:C20)</f>
        <v>40019663</v>
      </c>
      <c r="D21" s="366">
        <f>SUM(D20:D20)</f>
        <v>40019663</v>
      </c>
    </row>
    <row r="22" spans="1:5" x14ac:dyDescent="0.2">
      <c r="A22" s="368"/>
      <c r="B22" s="583"/>
      <c r="C22" s="584"/>
      <c r="D22" s="585"/>
    </row>
    <row r="23" spans="1:5" ht="12.75" thickBot="1" x14ac:dyDescent="0.25">
      <c r="A23" s="369"/>
      <c r="B23" s="370" t="s">
        <v>377</v>
      </c>
      <c r="C23" s="371">
        <f>C21+C14+C16</f>
        <v>119484158</v>
      </c>
      <c r="D23" s="371">
        <f>D21+D14+D16</f>
        <v>113299158</v>
      </c>
    </row>
    <row r="24" spans="1:5" x14ac:dyDescent="0.2">
      <c r="A24" s="372"/>
      <c r="B24" s="373"/>
      <c r="C24" s="374"/>
      <c r="D24" s="375"/>
    </row>
    <row r="25" spans="1:5" x14ac:dyDescent="0.2">
      <c r="A25" s="376"/>
      <c r="B25" s="373"/>
      <c r="C25" s="374"/>
      <c r="D25" s="375"/>
    </row>
    <row r="26" spans="1:5" x14ac:dyDescent="0.2">
      <c r="A26" s="372"/>
      <c r="B26" s="373"/>
      <c r="C26" s="377"/>
      <c r="D26" s="390"/>
    </row>
    <row r="27" spans="1:5" x14ac:dyDescent="0.2">
      <c r="A27" s="372"/>
      <c r="B27" s="373"/>
      <c r="C27" s="377"/>
    </row>
    <row r="28" spans="1:5" x14ac:dyDescent="0.2">
      <c r="A28" s="372"/>
      <c r="B28" s="378"/>
      <c r="C28" s="379"/>
      <c r="D28" s="380"/>
    </row>
    <row r="29" spans="1:5" x14ac:dyDescent="0.2">
      <c r="A29" s="376"/>
      <c r="B29" s="381"/>
      <c r="C29" s="382"/>
      <c r="D29" s="383"/>
    </row>
    <row r="30" spans="1:5" x14ac:dyDescent="0.2">
      <c r="A30" s="376"/>
      <c r="B30" s="381"/>
      <c r="C30" s="377"/>
      <c r="D30" s="383"/>
    </row>
    <row r="31" spans="1:5" x14ac:dyDescent="0.2">
      <c r="A31" s="376"/>
      <c r="B31" s="381"/>
      <c r="C31" s="377"/>
      <c r="D31" s="383"/>
    </row>
    <row r="32" spans="1:5" x14ac:dyDescent="0.2">
      <c r="A32" s="376"/>
      <c r="B32" s="381"/>
      <c r="C32" s="377"/>
      <c r="D32" s="383"/>
    </row>
    <row r="33" spans="1:4" x14ac:dyDescent="0.2">
      <c r="A33" s="376"/>
      <c r="B33" s="381"/>
      <c r="C33" s="377"/>
      <c r="D33" s="383"/>
    </row>
    <row r="34" spans="1:4" x14ac:dyDescent="0.2">
      <c r="A34" s="376"/>
      <c r="B34" s="384"/>
      <c r="C34" s="377"/>
      <c r="D34" s="383"/>
    </row>
    <row r="35" spans="1:4" x14ac:dyDescent="0.2">
      <c r="A35" s="385"/>
      <c r="B35" s="386"/>
      <c r="C35" s="387"/>
      <c r="D35" s="383"/>
    </row>
    <row r="36" spans="1:4" x14ac:dyDescent="0.2">
      <c r="A36" s="376"/>
      <c r="B36" s="381"/>
      <c r="C36" s="377"/>
      <c r="D36" s="383"/>
    </row>
    <row r="37" spans="1:4" x14ac:dyDescent="0.2">
      <c r="A37" s="376"/>
      <c r="B37" s="381"/>
      <c r="C37" s="377"/>
    </row>
    <row r="38" spans="1:4" x14ac:dyDescent="0.2">
      <c r="A38" s="388"/>
      <c r="B38" s="389"/>
      <c r="D38" s="390"/>
    </row>
    <row r="39" spans="1:4" x14ac:dyDescent="0.2">
      <c r="A39" s="388"/>
      <c r="B39" s="389"/>
      <c r="D39" s="375"/>
    </row>
    <row r="40" spans="1:4" x14ac:dyDescent="0.2">
      <c r="A40" s="388"/>
      <c r="D40" s="375"/>
    </row>
    <row r="41" spans="1:4" x14ac:dyDescent="0.2">
      <c r="A41" s="388"/>
      <c r="B41" s="392"/>
      <c r="C41" s="393"/>
      <c r="D41" s="375"/>
    </row>
    <row r="42" spans="1:4" x14ac:dyDescent="0.2">
      <c r="A42" s="388"/>
      <c r="D42" s="394"/>
    </row>
    <row r="43" spans="1:4" x14ac:dyDescent="0.2">
      <c r="A43" s="395"/>
      <c r="B43" s="392"/>
      <c r="C43" s="393"/>
      <c r="D43" s="394"/>
    </row>
    <row r="44" spans="1:4" x14ac:dyDescent="0.2">
      <c r="A44" s="388"/>
      <c r="D44" s="394"/>
    </row>
    <row r="45" spans="1:4" x14ac:dyDescent="0.2">
      <c r="A45" s="388"/>
      <c r="B45" s="392"/>
      <c r="C45" s="393"/>
      <c r="D45" s="394"/>
    </row>
    <row r="46" spans="1:4" x14ac:dyDescent="0.2">
      <c r="A46" s="388"/>
      <c r="D46" s="375"/>
    </row>
    <row r="47" spans="1:4" x14ac:dyDescent="0.2">
      <c r="A47" s="388"/>
      <c r="B47" s="396"/>
      <c r="D47" s="397"/>
    </row>
    <row r="48" spans="1:4" x14ac:dyDescent="0.2">
      <c r="A48" s="388"/>
      <c r="B48" s="392"/>
      <c r="C48" s="393"/>
    </row>
    <row r="49" spans="1:4" x14ac:dyDescent="0.2">
      <c r="A49" s="388"/>
      <c r="D49" s="398"/>
    </row>
    <row r="50" spans="1:4" x14ac:dyDescent="0.2">
      <c r="A50" s="388"/>
    </row>
    <row r="51" spans="1:4" x14ac:dyDescent="0.2">
      <c r="A51" s="388"/>
    </row>
    <row r="52" spans="1:4" x14ac:dyDescent="0.2">
      <c r="A52" s="388"/>
    </row>
    <row r="53" spans="1:4" x14ac:dyDescent="0.2">
      <c r="A53" s="388"/>
    </row>
    <row r="54" spans="1:4" x14ac:dyDescent="0.2">
      <c r="A54" s="388"/>
    </row>
    <row r="55" spans="1:4" x14ac:dyDescent="0.2">
      <c r="A55" s="388"/>
    </row>
  </sheetData>
  <mergeCells count="4">
    <mergeCell ref="A1:D1"/>
    <mergeCell ref="A3:D3"/>
    <mergeCell ref="A5:D5"/>
    <mergeCell ref="C7:D7"/>
  </mergeCells>
  <printOptions horizontalCentered="1"/>
  <pageMargins left="0" right="0" top="0.19685039370078741" bottom="0.98425196850393704" header="0.51181102362204722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ABC30-5461-4D52-9A54-F5267836DA28}">
  <sheetPr>
    <tabColor rgb="FFFFC000"/>
  </sheetPr>
  <dimension ref="A1:AW59"/>
  <sheetViews>
    <sheetView view="pageLayout" zoomScaleNormal="100" workbookViewId="0">
      <selection sqref="A1:F1"/>
    </sheetView>
  </sheetViews>
  <sheetFormatPr defaultRowHeight="15.75" x14ac:dyDescent="0.25"/>
  <cols>
    <col min="1" max="1" width="5.140625" style="400" customWidth="1"/>
    <col min="2" max="2" width="42.28515625" style="421" customWidth="1"/>
    <col min="3" max="3" width="10.5703125" style="406" customWidth="1"/>
    <col min="4" max="4" width="11.140625" style="406" customWidth="1"/>
    <col min="5" max="5" width="11.7109375" style="406" customWidth="1"/>
    <col min="6" max="6" width="12.7109375" style="406" customWidth="1"/>
    <col min="7" max="16384" width="9.140625" style="400"/>
  </cols>
  <sheetData>
    <row r="1" spans="1:49" s="218" customFormat="1" ht="23.25" customHeight="1" x14ac:dyDescent="0.2">
      <c r="A1" s="812" t="s">
        <v>596</v>
      </c>
      <c r="B1" s="813"/>
      <c r="C1" s="813"/>
      <c r="D1" s="813"/>
      <c r="E1" s="813"/>
      <c r="F1" s="813"/>
      <c r="G1" s="345"/>
      <c r="H1" s="345"/>
      <c r="I1" s="345"/>
      <c r="J1" s="346"/>
      <c r="K1" s="346"/>
      <c r="L1" s="346"/>
      <c r="M1" s="346"/>
      <c r="N1" s="346"/>
      <c r="O1" s="346"/>
      <c r="P1" s="346"/>
      <c r="Q1" s="346"/>
      <c r="R1" s="346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  <c r="AO1" s="347"/>
      <c r="AP1" s="347"/>
      <c r="AQ1" s="347"/>
      <c r="AR1" s="347"/>
      <c r="AS1" s="347"/>
      <c r="AT1" s="347"/>
      <c r="AU1" s="347"/>
      <c r="AV1" s="347"/>
      <c r="AW1" s="347"/>
    </row>
    <row r="2" spans="1:49" s="218" customFormat="1" ht="11.25" customHeight="1" x14ac:dyDescent="0.2">
      <c r="A2" s="219"/>
      <c r="B2" s="220"/>
      <c r="C2" s="220"/>
      <c r="D2" s="220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347"/>
      <c r="AN2" s="347"/>
      <c r="AO2" s="347"/>
      <c r="AP2" s="347"/>
      <c r="AQ2" s="347"/>
      <c r="AR2" s="347"/>
      <c r="AS2" s="347"/>
      <c r="AT2" s="347"/>
      <c r="AU2" s="347"/>
      <c r="AV2" s="347"/>
      <c r="AW2" s="347"/>
    </row>
    <row r="3" spans="1:49" s="218" customFormat="1" ht="16.5" customHeight="1" x14ac:dyDescent="0.2">
      <c r="A3" s="814" t="s">
        <v>554</v>
      </c>
      <c r="B3" s="815"/>
      <c r="C3" s="815"/>
      <c r="D3" s="815"/>
      <c r="E3" s="815"/>
      <c r="F3" s="815"/>
      <c r="G3" s="349"/>
      <c r="H3" s="349"/>
      <c r="I3" s="349"/>
      <c r="J3" s="346"/>
      <c r="K3" s="346"/>
      <c r="L3" s="346"/>
      <c r="M3" s="346"/>
      <c r="N3" s="346"/>
      <c r="O3" s="346"/>
      <c r="P3" s="346"/>
      <c r="Q3" s="346"/>
      <c r="R3" s="346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7"/>
      <c r="AK3" s="347"/>
      <c r="AL3" s="347"/>
      <c r="AM3" s="347"/>
      <c r="AN3" s="347"/>
      <c r="AO3" s="347"/>
      <c r="AP3" s="347"/>
      <c r="AQ3" s="347"/>
      <c r="AR3" s="347"/>
      <c r="AS3" s="347"/>
      <c r="AT3" s="347"/>
      <c r="AU3" s="347"/>
      <c r="AV3" s="347"/>
      <c r="AW3" s="347"/>
    </row>
    <row r="4" spans="1:49" s="218" customFormat="1" ht="10.5" customHeight="1" x14ac:dyDescent="0.2">
      <c r="A4" s="223"/>
      <c r="B4" s="224"/>
      <c r="C4" s="224"/>
      <c r="D4" s="224"/>
      <c r="E4" s="350"/>
      <c r="F4" s="350"/>
      <c r="G4" s="350"/>
      <c r="H4" s="350"/>
      <c r="I4" s="350"/>
      <c r="J4" s="351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47"/>
      <c r="AQ4" s="347"/>
      <c r="AR4" s="347"/>
      <c r="AS4" s="347"/>
      <c r="AT4" s="347"/>
      <c r="AU4" s="347"/>
      <c r="AV4" s="347"/>
      <c r="AW4" s="347"/>
    </row>
    <row r="5" spans="1:49" s="218" customFormat="1" ht="60" customHeight="1" x14ac:dyDescent="0.25">
      <c r="A5" s="816" t="s">
        <v>529</v>
      </c>
      <c r="B5" s="817"/>
      <c r="C5" s="817"/>
      <c r="D5" s="817"/>
      <c r="E5" s="817"/>
      <c r="F5" s="817"/>
      <c r="G5" s="352"/>
      <c r="H5" s="352"/>
      <c r="I5" s="352"/>
      <c r="J5" s="353"/>
      <c r="K5" s="353"/>
      <c r="L5" s="353"/>
      <c r="M5" s="353"/>
      <c r="N5" s="353"/>
      <c r="O5" s="353"/>
      <c r="P5" s="353"/>
      <c r="Q5" s="353"/>
      <c r="R5" s="353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  <c r="AQ5" s="347"/>
      <c r="AR5" s="347"/>
      <c r="AS5" s="347"/>
      <c r="AT5" s="347"/>
      <c r="AU5" s="347"/>
      <c r="AV5" s="347"/>
      <c r="AW5" s="347"/>
    </row>
    <row r="6" spans="1:49" s="218" customFormat="1" ht="13.5" thickBot="1" x14ac:dyDescent="0.25">
      <c r="A6" s="807" t="s">
        <v>513</v>
      </c>
      <c r="B6" s="807"/>
      <c r="C6" s="807"/>
      <c r="D6" s="807"/>
      <c r="E6" s="807"/>
      <c r="F6" s="807"/>
      <c r="G6" s="354"/>
      <c r="H6" s="354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  <c r="AN6" s="347"/>
      <c r="AO6" s="347"/>
      <c r="AP6" s="347"/>
      <c r="AQ6" s="347"/>
      <c r="AR6" s="347"/>
      <c r="AS6" s="347"/>
      <c r="AT6" s="347"/>
      <c r="AU6" s="347"/>
      <c r="AV6" s="347"/>
      <c r="AW6" s="347"/>
    </row>
    <row r="7" spans="1:49" ht="30.75" customHeight="1" thickBot="1" x14ac:dyDescent="0.3">
      <c r="A7" s="591" t="s">
        <v>530</v>
      </c>
      <c r="B7" s="727" t="s">
        <v>379</v>
      </c>
      <c r="C7" s="727">
        <v>2021</v>
      </c>
      <c r="D7" s="727">
        <v>2022</v>
      </c>
      <c r="E7" s="728">
        <v>2023</v>
      </c>
      <c r="F7" s="729">
        <v>2024</v>
      </c>
    </row>
    <row r="8" spans="1:49" x14ac:dyDescent="0.25">
      <c r="A8" s="594" t="s">
        <v>68</v>
      </c>
      <c r="B8" s="595" t="s">
        <v>76</v>
      </c>
      <c r="C8" s="592" t="s">
        <v>69</v>
      </c>
      <c r="D8" s="592" t="s">
        <v>70</v>
      </c>
      <c r="E8" s="592" t="s">
        <v>71</v>
      </c>
      <c r="F8" s="593" t="s">
        <v>78</v>
      </c>
    </row>
    <row r="9" spans="1:49" x14ac:dyDescent="0.25">
      <c r="A9" s="401"/>
      <c r="B9" s="402" t="s">
        <v>380</v>
      </c>
      <c r="C9" s="587"/>
      <c r="D9" s="588"/>
      <c r="E9" s="588"/>
      <c r="F9" s="589"/>
    </row>
    <row r="10" spans="1:49" x14ac:dyDescent="0.25">
      <c r="A10" s="403">
        <v>1</v>
      </c>
      <c r="B10" s="404" t="s">
        <v>73</v>
      </c>
      <c r="C10" s="247">
        <v>79500000</v>
      </c>
      <c r="D10" s="247">
        <f t="shared" ref="D10:F20" si="0">C10*1.05</f>
        <v>83475000</v>
      </c>
      <c r="E10" s="247">
        <f t="shared" si="0"/>
        <v>87648750</v>
      </c>
      <c r="F10" s="248">
        <v>92031000</v>
      </c>
    </row>
    <row r="11" spans="1:49" x14ac:dyDescent="0.25">
      <c r="A11" s="403">
        <v>2</v>
      </c>
      <c r="B11" s="404" t="s">
        <v>381</v>
      </c>
      <c r="C11" s="247">
        <v>105164000</v>
      </c>
      <c r="D11" s="247">
        <f t="shared" si="0"/>
        <v>110422200</v>
      </c>
      <c r="E11" s="247">
        <f t="shared" si="0"/>
        <v>115943310</v>
      </c>
      <c r="F11" s="248">
        <f t="shared" si="0"/>
        <v>121740475.5</v>
      </c>
    </row>
    <row r="12" spans="1:49" ht="31.5" x14ac:dyDescent="0.25">
      <c r="A12" s="403">
        <v>3</v>
      </c>
      <c r="B12" s="300" t="s">
        <v>382</v>
      </c>
      <c r="C12" s="247">
        <v>600000</v>
      </c>
      <c r="D12" s="247">
        <f t="shared" si="0"/>
        <v>630000</v>
      </c>
      <c r="E12" s="247">
        <f t="shared" si="0"/>
        <v>661500</v>
      </c>
      <c r="F12" s="248">
        <f t="shared" si="0"/>
        <v>694575</v>
      </c>
    </row>
    <row r="13" spans="1:49" ht="30.75" customHeight="1" x14ac:dyDescent="0.25">
      <c r="A13" s="403">
        <v>4</v>
      </c>
      <c r="B13" s="404" t="s">
        <v>87</v>
      </c>
      <c r="C13" s="247">
        <f>'1.melléklet.Önkormányzat'!D9+'1.melléklet.Önkormányzat'!D17</f>
        <v>635718316</v>
      </c>
      <c r="D13" s="247">
        <f t="shared" si="0"/>
        <v>667504231.80000007</v>
      </c>
      <c r="E13" s="247">
        <f t="shared" si="0"/>
        <v>700879443.3900001</v>
      </c>
      <c r="F13" s="248">
        <f t="shared" si="0"/>
        <v>735923415.5595001</v>
      </c>
    </row>
    <row r="14" spans="1:49" x14ac:dyDescent="0.25">
      <c r="A14" s="403">
        <v>5</v>
      </c>
      <c r="B14" s="405" t="s">
        <v>383</v>
      </c>
      <c r="C14" s="243">
        <f>SUM(C10:C13)</f>
        <v>820982316</v>
      </c>
      <c r="D14" s="243">
        <f t="shared" si="0"/>
        <v>862031431.80000007</v>
      </c>
      <c r="E14" s="243">
        <f t="shared" si="0"/>
        <v>905133003.3900001</v>
      </c>
      <c r="F14" s="244">
        <f t="shared" si="0"/>
        <v>950389653.5595001</v>
      </c>
    </row>
    <row r="15" spans="1:49" x14ac:dyDescent="0.25">
      <c r="A15" s="403">
        <v>6</v>
      </c>
      <c r="B15" s="404" t="s">
        <v>46</v>
      </c>
      <c r="C15" s="247">
        <f>'1.melléklet.Önkormányzat'!D52</f>
        <v>427294506</v>
      </c>
      <c r="D15" s="247">
        <f t="shared" si="0"/>
        <v>448659231.30000001</v>
      </c>
      <c r="E15" s="247">
        <f t="shared" si="0"/>
        <v>471092192.86500001</v>
      </c>
      <c r="F15" s="248">
        <f t="shared" si="0"/>
        <v>494646802.50825006</v>
      </c>
    </row>
    <row r="16" spans="1:49" ht="30" customHeight="1" x14ac:dyDescent="0.25">
      <c r="A16" s="403">
        <v>7</v>
      </c>
      <c r="B16" s="404" t="s">
        <v>384</v>
      </c>
      <c r="C16" s="247">
        <f>'1.melléklet.Önkormányzat'!D53</f>
        <v>66361207</v>
      </c>
      <c r="D16" s="247">
        <f t="shared" si="0"/>
        <v>69679267.350000009</v>
      </c>
      <c r="E16" s="247">
        <f t="shared" si="0"/>
        <v>73163230.717500016</v>
      </c>
      <c r="F16" s="248">
        <f t="shared" si="0"/>
        <v>76821392.253375024</v>
      </c>
    </row>
    <row r="17" spans="1:8" x14ac:dyDescent="0.25">
      <c r="A17" s="403">
        <v>8</v>
      </c>
      <c r="B17" s="404" t="s">
        <v>47</v>
      </c>
      <c r="C17" s="247">
        <f>'1.melléklet.Önkormányzat'!D54</f>
        <v>260107554</v>
      </c>
      <c r="D17" s="247">
        <f t="shared" si="0"/>
        <v>273112931.69999999</v>
      </c>
      <c r="E17" s="247">
        <f t="shared" si="0"/>
        <v>286768578.28500003</v>
      </c>
      <c r="F17" s="248">
        <f t="shared" si="0"/>
        <v>301107007.19925004</v>
      </c>
    </row>
    <row r="18" spans="1:8" x14ac:dyDescent="0.25">
      <c r="A18" s="403">
        <v>9</v>
      </c>
      <c r="B18" s="404" t="s">
        <v>48</v>
      </c>
      <c r="C18" s="247">
        <f>'1.melléklet.Önkormányzat'!D55</f>
        <v>29774000</v>
      </c>
      <c r="D18" s="247">
        <f t="shared" si="0"/>
        <v>31262700</v>
      </c>
      <c r="E18" s="247">
        <f t="shared" si="0"/>
        <v>32825835</v>
      </c>
      <c r="F18" s="248">
        <f t="shared" si="0"/>
        <v>34467126.75</v>
      </c>
    </row>
    <row r="19" spans="1:8" x14ac:dyDescent="0.25">
      <c r="A19" s="403">
        <v>10</v>
      </c>
      <c r="B19" s="404" t="s">
        <v>49</v>
      </c>
      <c r="C19" s="247">
        <f>'1.melléklet.Önkormányzat'!D56</f>
        <v>32557000</v>
      </c>
      <c r="D19" s="247">
        <f t="shared" si="0"/>
        <v>34184850</v>
      </c>
      <c r="E19" s="247">
        <f t="shared" si="0"/>
        <v>35894092.5</v>
      </c>
      <c r="F19" s="248">
        <f t="shared" si="0"/>
        <v>37688797.125</v>
      </c>
    </row>
    <row r="20" spans="1:8" x14ac:dyDescent="0.25">
      <c r="A20" s="403">
        <v>11</v>
      </c>
      <c r="B20" s="404" t="s">
        <v>50</v>
      </c>
      <c r="C20" s="247">
        <f>'14.melléklet.ált.,céltartalék'!D14</f>
        <v>49487279</v>
      </c>
      <c r="D20" s="247">
        <f t="shared" si="0"/>
        <v>51961642.950000003</v>
      </c>
      <c r="E20" s="247">
        <f t="shared" si="0"/>
        <v>54559725.097500004</v>
      </c>
      <c r="F20" s="248">
        <f t="shared" si="0"/>
        <v>57287711.352375008</v>
      </c>
    </row>
    <row r="21" spans="1:8" x14ac:dyDescent="0.25">
      <c r="A21" s="403">
        <v>12</v>
      </c>
      <c r="B21" s="405" t="s">
        <v>385</v>
      </c>
      <c r="C21" s="243">
        <f>SUM(C15:C20)</f>
        <v>865581546</v>
      </c>
      <c r="D21" s="243">
        <f>SUM(D15:D20)</f>
        <v>908860623.30000007</v>
      </c>
      <c r="E21" s="243">
        <f>SUM(E15:E20)</f>
        <v>954303654.46500003</v>
      </c>
      <c r="F21" s="244">
        <f>SUM(F15:F20)</f>
        <v>1002018837.1882501</v>
      </c>
    </row>
    <row r="22" spans="1:8" x14ac:dyDescent="0.25">
      <c r="A22" s="403">
        <v>13</v>
      </c>
      <c r="B22" s="405" t="s">
        <v>386</v>
      </c>
      <c r="C22" s="247">
        <f>C14-C21</f>
        <v>-44599230</v>
      </c>
      <c r="D22" s="247">
        <f>D14-D21</f>
        <v>-46829191.5</v>
      </c>
      <c r="E22" s="247">
        <f>E14-E21</f>
        <v>-49170651.074999928</v>
      </c>
      <c r="F22" s="248">
        <f>F14-F21</f>
        <v>-51629183.628749967</v>
      </c>
      <c r="H22" s="406"/>
    </row>
    <row r="23" spans="1:8" ht="34.5" customHeight="1" x14ac:dyDescent="0.25">
      <c r="A23" s="403">
        <v>14</v>
      </c>
      <c r="B23" s="405" t="s">
        <v>387</v>
      </c>
      <c r="C23" s="247">
        <f>(C22)*-1</f>
        <v>44599230</v>
      </c>
      <c r="D23" s="247">
        <f>(D22)*-1</f>
        <v>46829191.5</v>
      </c>
      <c r="E23" s="247">
        <f>(E22)*-1</f>
        <v>49170651.074999928</v>
      </c>
      <c r="F23" s="248">
        <f>(F22)*-1</f>
        <v>51629183.628749967</v>
      </c>
    </row>
    <row r="24" spans="1:8" ht="19.5" customHeight="1" x14ac:dyDescent="0.25">
      <c r="A24" s="403"/>
      <c r="B24" s="407" t="s">
        <v>388</v>
      </c>
      <c r="C24" s="590"/>
      <c r="D24" s="247"/>
      <c r="E24" s="247"/>
      <c r="F24" s="248"/>
    </row>
    <row r="25" spans="1:8" x14ac:dyDescent="0.25">
      <c r="A25" s="403">
        <v>15</v>
      </c>
      <c r="B25" s="404" t="s">
        <v>23</v>
      </c>
      <c r="C25" s="247">
        <f>'1.melléklet.Önkormányzat'!D33</f>
        <v>9590083</v>
      </c>
      <c r="D25" s="247">
        <v>0</v>
      </c>
      <c r="E25" s="247">
        <v>0</v>
      </c>
      <c r="F25" s="248">
        <v>0</v>
      </c>
    </row>
    <row r="26" spans="1:8" ht="31.5" customHeight="1" x14ac:dyDescent="0.25">
      <c r="A26" s="403">
        <v>16</v>
      </c>
      <c r="B26" s="408" t="s">
        <v>389</v>
      </c>
      <c r="C26" s="247">
        <f>'1.melléklet.Önkormányzat'!D35</f>
        <v>0</v>
      </c>
      <c r="D26" s="247">
        <f t="shared" ref="D26:F27" si="1">C26*1.05</f>
        <v>0</v>
      </c>
      <c r="E26" s="247">
        <f t="shared" si="1"/>
        <v>0</v>
      </c>
      <c r="F26" s="248">
        <f t="shared" si="1"/>
        <v>0</v>
      </c>
    </row>
    <row r="27" spans="1:8" ht="30.75" customHeight="1" x14ac:dyDescent="0.25">
      <c r="A27" s="403">
        <v>17</v>
      </c>
      <c r="B27" s="404" t="s">
        <v>88</v>
      </c>
      <c r="C27" s="247">
        <v>0</v>
      </c>
      <c r="D27" s="247">
        <f t="shared" si="1"/>
        <v>0</v>
      </c>
      <c r="E27" s="247">
        <f t="shared" si="1"/>
        <v>0</v>
      </c>
      <c r="F27" s="248">
        <f t="shared" si="1"/>
        <v>0</v>
      </c>
    </row>
    <row r="28" spans="1:8" ht="31.5" x14ac:dyDescent="0.25">
      <c r="A28" s="403">
        <v>18</v>
      </c>
      <c r="B28" s="405" t="s">
        <v>390</v>
      </c>
      <c r="C28" s="243">
        <f>SUM(C25:C27)</f>
        <v>9590083</v>
      </c>
      <c r="D28" s="243">
        <f>SUM(D25:D27)</f>
        <v>0</v>
      </c>
      <c r="E28" s="243">
        <f>SUM(E25:E27)</f>
        <v>0</v>
      </c>
      <c r="F28" s="244">
        <f>SUM(F25:F27)</f>
        <v>0</v>
      </c>
    </row>
    <row r="29" spans="1:8" x14ac:dyDescent="0.25">
      <c r="A29" s="403">
        <v>19</v>
      </c>
      <c r="B29" s="404" t="s">
        <v>53</v>
      </c>
      <c r="C29" s="247">
        <f>'1.melléklet.Önkormányzat'!D61</f>
        <v>120690998</v>
      </c>
      <c r="D29" s="247">
        <f t="shared" ref="D29:F33" si="2">C29*1.05</f>
        <v>126725547.90000001</v>
      </c>
      <c r="E29" s="247">
        <f t="shared" si="2"/>
        <v>133061825.29500002</v>
      </c>
      <c r="F29" s="248">
        <f t="shared" si="2"/>
        <v>139714916.55975002</v>
      </c>
    </row>
    <row r="30" spans="1:8" x14ac:dyDescent="0.25">
      <c r="A30" s="403">
        <v>20</v>
      </c>
      <c r="B30" s="404" t="s">
        <v>55</v>
      </c>
      <c r="C30" s="247">
        <f>'1.melléklet.Önkormányzat'!D63</f>
        <v>8501000</v>
      </c>
      <c r="D30" s="247">
        <f t="shared" si="2"/>
        <v>8926050</v>
      </c>
      <c r="E30" s="247">
        <f t="shared" si="2"/>
        <v>9372352.5</v>
      </c>
      <c r="F30" s="248">
        <f t="shared" si="2"/>
        <v>9840970.125</v>
      </c>
    </row>
    <row r="31" spans="1:8" x14ac:dyDescent="0.25">
      <c r="A31" s="403">
        <v>21</v>
      </c>
      <c r="B31" s="404" t="s">
        <v>370</v>
      </c>
      <c r="C31" s="247">
        <f>'1.melléklet.Önkormányzat'!D65</f>
        <v>5000000</v>
      </c>
      <c r="D31" s="247">
        <f t="shared" si="2"/>
        <v>5250000</v>
      </c>
      <c r="E31" s="247">
        <f t="shared" si="2"/>
        <v>5512500</v>
      </c>
      <c r="F31" s="248">
        <f t="shared" si="2"/>
        <v>5788125</v>
      </c>
    </row>
    <row r="32" spans="1:8" x14ac:dyDescent="0.25">
      <c r="A32" s="403">
        <v>22</v>
      </c>
      <c r="B32" s="404" t="s">
        <v>391</v>
      </c>
      <c r="C32" s="247">
        <f>'14.melléklet.ált.,céltartalék'!D17+'14.melléklet.ált.,céltartalék'!D21</f>
        <v>63811879</v>
      </c>
      <c r="D32" s="247">
        <f t="shared" si="2"/>
        <v>67002472.950000003</v>
      </c>
      <c r="E32" s="247">
        <f t="shared" si="2"/>
        <v>70352596.597500011</v>
      </c>
      <c r="F32" s="248">
        <f t="shared" si="2"/>
        <v>73870226.427375019</v>
      </c>
    </row>
    <row r="33" spans="1:7" ht="31.5" x14ac:dyDescent="0.25">
      <c r="A33" s="403">
        <v>23</v>
      </c>
      <c r="B33" s="404" t="s">
        <v>392</v>
      </c>
      <c r="C33" s="247">
        <f>'1.melléklet.Önkormányzat'!D70</f>
        <v>22221723</v>
      </c>
      <c r="D33" s="247">
        <f t="shared" si="2"/>
        <v>23332809.150000002</v>
      </c>
      <c r="E33" s="247">
        <f t="shared" si="2"/>
        <v>24499449.607500002</v>
      </c>
      <c r="F33" s="248">
        <f t="shared" si="2"/>
        <v>25724422.087875001</v>
      </c>
    </row>
    <row r="34" spans="1:7" x14ac:dyDescent="0.25">
      <c r="A34" s="403">
        <v>24</v>
      </c>
      <c r="B34" s="405" t="s">
        <v>393</v>
      </c>
      <c r="C34" s="243">
        <f>SUM(C29:C33)</f>
        <v>220225600</v>
      </c>
      <c r="D34" s="243">
        <f>SUM(D29:D33)</f>
        <v>231236880.00000003</v>
      </c>
      <c r="E34" s="243">
        <f>SUM(E29:E33)</f>
        <v>242798724.00000006</v>
      </c>
      <c r="F34" s="244">
        <f>SUM(F29:F33)</f>
        <v>254938660.20000005</v>
      </c>
    </row>
    <row r="35" spans="1:7" ht="14.25" customHeight="1" x14ac:dyDescent="0.25">
      <c r="A35" s="403">
        <v>25</v>
      </c>
      <c r="B35" s="405" t="s">
        <v>394</v>
      </c>
      <c r="C35" s="247">
        <f>C28-C34</f>
        <v>-210635517</v>
      </c>
      <c r="D35" s="247">
        <f>D28-D34</f>
        <v>-231236880.00000003</v>
      </c>
      <c r="E35" s="247">
        <f>E28-E34</f>
        <v>-242798724.00000006</v>
      </c>
      <c r="F35" s="248">
        <f>F28-F34</f>
        <v>-254938660.20000005</v>
      </c>
    </row>
    <row r="36" spans="1:7" ht="30" customHeight="1" x14ac:dyDescent="0.25">
      <c r="A36" s="403">
        <v>26</v>
      </c>
      <c r="B36" s="409" t="s">
        <v>395</v>
      </c>
      <c r="C36" s="247">
        <f>(C35)*-1</f>
        <v>210635517</v>
      </c>
      <c r="D36" s="247">
        <f>(D35)*-1</f>
        <v>231236880.00000003</v>
      </c>
      <c r="E36" s="247">
        <f>(E35)*-1</f>
        <v>242798724.00000006</v>
      </c>
      <c r="F36" s="248">
        <f>(F35)*-1</f>
        <v>254938660.20000005</v>
      </c>
    </row>
    <row r="37" spans="1:7" ht="30" customHeight="1" x14ac:dyDescent="0.25">
      <c r="A37" s="403">
        <v>27</v>
      </c>
      <c r="B37" s="409" t="s">
        <v>396</v>
      </c>
      <c r="C37" s="247">
        <v>0</v>
      </c>
      <c r="D37" s="247">
        <v>0</v>
      </c>
      <c r="E37" s="247">
        <v>0</v>
      </c>
      <c r="F37" s="248">
        <v>0</v>
      </c>
    </row>
    <row r="38" spans="1:7" ht="31.5" x14ac:dyDescent="0.25">
      <c r="A38" s="403">
        <v>28</v>
      </c>
      <c r="B38" s="405" t="s">
        <v>397</v>
      </c>
      <c r="C38" s="365">
        <f>C14+C23+C28+C36</f>
        <v>1085807146</v>
      </c>
      <c r="D38" s="365">
        <f>D14+D23+D28+D36</f>
        <v>1140097503.3000002</v>
      </c>
      <c r="E38" s="365">
        <f>E14+E23+E28+E36</f>
        <v>1197102378.4650002</v>
      </c>
      <c r="F38" s="366">
        <f>F14+F23+F28+F36</f>
        <v>1256957497.3882501</v>
      </c>
      <c r="G38" s="406"/>
    </row>
    <row r="39" spans="1:7" ht="16.5" thickBot="1" x14ac:dyDescent="0.3">
      <c r="A39" s="410">
        <v>29</v>
      </c>
      <c r="B39" s="411" t="s">
        <v>398</v>
      </c>
      <c r="C39" s="371">
        <f>C21+C34</f>
        <v>1085807146</v>
      </c>
      <c r="D39" s="371">
        <f>D21+D34</f>
        <v>1140097503.3000002</v>
      </c>
      <c r="E39" s="371">
        <f>E21+E34</f>
        <v>1197102378.4650002</v>
      </c>
      <c r="F39" s="586">
        <f>F21+F34</f>
        <v>1256957497.3882501</v>
      </c>
    </row>
    <row r="40" spans="1:7" x14ac:dyDescent="0.25">
      <c r="B40" s="412"/>
      <c r="C40" s="413"/>
      <c r="D40" s="414"/>
      <c r="E40" s="414"/>
      <c r="F40" s="414"/>
    </row>
    <row r="41" spans="1:7" x14ac:dyDescent="0.25">
      <c r="B41" s="415"/>
      <c r="C41" s="413"/>
      <c r="D41" s="414"/>
      <c r="E41" s="414"/>
      <c r="F41" s="414"/>
    </row>
    <row r="42" spans="1:7" x14ac:dyDescent="0.25">
      <c r="B42" s="412"/>
      <c r="C42" s="413"/>
      <c r="D42" s="414"/>
      <c r="E42" s="414"/>
      <c r="F42" s="414"/>
    </row>
    <row r="43" spans="1:7" x14ac:dyDescent="0.25">
      <c r="B43" s="416"/>
      <c r="C43" s="417"/>
      <c r="D43" s="418"/>
      <c r="E43" s="418"/>
      <c r="F43" s="418"/>
    </row>
    <row r="44" spans="1:7" x14ac:dyDescent="0.25">
      <c r="B44" s="412"/>
      <c r="C44" s="419"/>
      <c r="D44" s="418"/>
      <c r="E44" s="418"/>
      <c r="F44" s="418"/>
    </row>
    <row r="45" spans="1:7" x14ac:dyDescent="0.25">
      <c r="B45" s="412"/>
      <c r="C45" s="419"/>
      <c r="D45" s="418"/>
      <c r="E45" s="418"/>
      <c r="F45" s="418"/>
    </row>
    <row r="46" spans="1:7" x14ac:dyDescent="0.25">
      <c r="B46" s="412"/>
      <c r="C46" s="419"/>
      <c r="D46" s="418"/>
      <c r="E46" s="418"/>
      <c r="F46" s="418"/>
    </row>
    <row r="47" spans="1:7" x14ac:dyDescent="0.25">
      <c r="B47" s="420"/>
      <c r="C47" s="418"/>
      <c r="D47" s="418"/>
      <c r="E47" s="418"/>
      <c r="F47" s="418"/>
    </row>
    <row r="48" spans="1:7" x14ac:dyDescent="0.25">
      <c r="B48" s="420"/>
      <c r="C48" s="418"/>
      <c r="D48" s="418"/>
      <c r="E48" s="418"/>
      <c r="F48" s="418"/>
    </row>
    <row r="49" spans="2:6" x14ac:dyDescent="0.25">
      <c r="B49" s="420"/>
      <c r="C49" s="418"/>
      <c r="D49" s="418"/>
      <c r="E49" s="418"/>
      <c r="F49" s="418"/>
    </row>
    <row r="50" spans="2:6" x14ac:dyDescent="0.25">
      <c r="B50" s="420"/>
      <c r="C50" s="418"/>
      <c r="D50" s="418"/>
      <c r="E50" s="418"/>
      <c r="F50" s="418"/>
    </row>
    <row r="51" spans="2:6" x14ac:dyDescent="0.25">
      <c r="B51" s="420"/>
      <c r="C51" s="418"/>
      <c r="D51" s="418"/>
      <c r="E51" s="418"/>
      <c r="F51" s="418"/>
    </row>
    <row r="52" spans="2:6" x14ac:dyDescent="0.25">
      <c r="B52" s="420"/>
      <c r="C52" s="418"/>
      <c r="D52" s="418"/>
      <c r="E52" s="418"/>
      <c r="F52" s="418"/>
    </row>
    <row r="53" spans="2:6" x14ac:dyDescent="0.25">
      <c r="B53" s="420"/>
      <c r="C53" s="418"/>
      <c r="D53" s="418"/>
      <c r="E53" s="418"/>
      <c r="F53" s="418"/>
    </row>
    <row r="54" spans="2:6" x14ac:dyDescent="0.25">
      <c r="B54" s="420"/>
      <c r="C54" s="418"/>
      <c r="D54" s="418"/>
      <c r="E54" s="418"/>
      <c r="F54" s="418"/>
    </row>
    <row r="55" spans="2:6" x14ac:dyDescent="0.25">
      <c r="B55" s="420"/>
      <c r="C55" s="418"/>
      <c r="D55" s="418"/>
      <c r="E55" s="418"/>
      <c r="F55" s="418"/>
    </row>
    <row r="56" spans="2:6" x14ac:dyDescent="0.25">
      <c r="B56" s="420"/>
      <c r="C56" s="418"/>
      <c r="D56" s="418"/>
      <c r="E56" s="418"/>
      <c r="F56" s="418"/>
    </row>
    <row r="57" spans="2:6" x14ac:dyDescent="0.25">
      <c r="B57" s="420"/>
      <c r="C57" s="418"/>
      <c r="D57" s="418"/>
      <c r="E57" s="418"/>
      <c r="F57" s="418"/>
    </row>
    <row r="58" spans="2:6" x14ac:dyDescent="0.25">
      <c r="B58" s="420"/>
      <c r="C58" s="418"/>
      <c r="D58" s="418"/>
      <c r="E58" s="418"/>
      <c r="F58" s="418"/>
    </row>
    <row r="59" spans="2:6" x14ac:dyDescent="0.25">
      <c r="B59" s="420"/>
      <c r="C59" s="418"/>
      <c r="D59" s="418"/>
      <c r="E59" s="418"/>
      <c r="F59" s="418"/>
    </row>
  </sheetData>
  <mergeCells count="4">
    <mergeCell ref="A1:F1"/>
    <mergeCell ref="A3:F3"/>
    <mergeCell ref="A5:F5"/>
    <mergeCell ref="A6:F6"/>
  </mergeCells>
  <pageMargins left="0.78740157480314965" right="0.78740157480314965" top="0.19687499999999999" bottom="0.98425196850393704" header="0.51181102362204722" footer="0.51181102362204722"/>
  <pageSetup paperSize="9" scale="90" orientation="portrait" r:id="rId1"/>
  <headerFooter alignWithMargins="0"/>
  <ignoredErrors>
    <ignoredError sqref="D28:F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40E85-F72B-4444-805C-2DADCAA9441B}">
  <sheetPr>
    <tabColor rgb="FFFFC000"/>
  </sheetPr>
  <dimension ref="A1:AW62"/>
  <sheetViews>
    <sheetView view="pageLayout" zoomScale="85" zoomScalePageLayoutView="85" workbookViewId="0">
      <selection sqref="A1:H1"/>
    </sheetView>
  </sheetViews>
  <sheetFormatPr defaultRowHeight="12.75" x14ac:dyDescent="0.2"/>
  <cols>
    <col min="1" max="1" width="5" style="234" customWidth="1"/>
    <col min="2" max="2" width="33.85546875" style="455" customWidth="1"/>
    <col min="3" max="9" width="12.7109375" style="234" customWidth="1"/>
    <col min="10" max="16384" width="9.140625" style="234"/>
  </cols>
  <sheetData>
    <row r="1" spans="1:49" s="218" customFormat="1" ht="27.75" customHeight="1" x14ac:dyDescent="0.2">
      <c r="A1" s="812" t="s">
        <v>597</v>
      </c>
      <c r="B1" s="813"/>
      <c r="C1" s="813"/>
      <c r="D1" s="813"/>
      <c r="E1" s="813"/>
      <c r="F1" s="813"/>
      <c r="G1" s="813"/>
      <c r="H1" s="813"/>
      <c r="I1" s="345"/>
      <c r="J1" s="346"/>
      <c r="K1" s="346"/>
      <c r="L1" s="346"/>
      <c r="M1" s="346"/>
      <c r="N1" s="346"/>
      <c r="O1" s="346"/>
      <c r="P1" s="346"/>
      <c r="Q1" s="346"/>
      <c r="R1" s="346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  <c r="AO1" s="347"/>
      <c r="AP1" s="347"/>
      <c r="AQ1" s="347"/>
      <c r="AR1" s="347"/>
      <c r="AS1" s="347"/>
      <c r="AT1" s="347"/>
      <c r="AU1" s="347"/>
      <c r="AV1" s="347"/>
      <c r="AW1" s="347"/>
    </row>
    <row r="2" spans="1:49" s="218" customFormat="1" ht="12" x14ac:dyDescent="0.2">
      <c r="A2" s="219"/>
      <c r="B2" s="220"/>
      <c r="C2" s="220"/>
      <c r="D2" s="220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347"/>
      <c r="AN2" s="347"/>
      <c r="AO2" s="347"/>
      <c r="AP2" s="347"/>
      <c r="AQ2" s="347"/>
      <c r="AR2" s="347"/>
      <c r="AS2" s="347"/>
      <c r="AT2" s="347"/>
      <c r="AU2" s="347"/>
      <c r="AV2" s="347"/>
      <c r="AW2" s="347"/>
    </row>
    <row r="3" spans="1:49" s="218" customFormat="1" ht="28.5" customHeight="1" x14ac:dyDescent="0.2">
      <c r="A3" s="814" t="s">
        <v>555</v>
      </c>
      <c r="B3" s="815"/>
      <c r="C3" s="815"/>
      <c r="D3" s="815"/>
      <c r="E3" s="815"/>
      <c r="F3" s="815"/>
      <c r="G3" s="815"/>
      <c r="H3" s="815"/>
      <c r="I3" s="349"/>
      <c r="J3" s="346"/>
      <c r="K3" s="346"/>
      <c r="L3" s="346"/>
      <c r="M3" s="346"/>
      <c r="N3" s="346"/>
      <c r="O3" s="346"/>
      <c r="P3" s="346"/>
      <c r="Q3" s="346"/>
      <c r="R3" s="346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7"/>
      <c r="AK3" s="347"/>
      <c r="AL3" s="347"/>
      <c r="AM3" s="347"/>
      <c r="AN3" s="347"/>
      <c r="AO3" s="347"/>
      <c r="AP3" s="347"/>
      <c r="AQ3" s="347"/>
      <c r="AR3" s="347"/>
      <c r="AS3" s="347"/>
      <c r="AT3" s="347"/>
      <c r="AU3" s="347"/>
      <c r="AV3" s="347"/>
      <c r="AW3" s="347"/>
    </row>
    <row r="4" spans="1:49" s="218" customFormat="1" ht="12" x14ac:dyDescent="0.2">
      <c r="A4" s="223"/>
      <c r="B4" s="224"/>
      <c r="C4" s="224"/>
      <c r="D4" s="224"/>
      <c r="E4" s="350"/>
      <c r="F4" s="350"/>
      <c r="G4" s="350"/>
      <c r="H4" s="350"/>
      <c r="I4" s="350"/>
      <c r="J4" s="351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47"/>
      <c r="AQ4" s="347"/>
      <c r="AR4" s="347"/>
      <c r="AS4" s="347"/>
      <c r="AT4" s="347"/>
      <c r="AU4" s="347"/>
      <c r="AV4" s="347"/>
      <c r="AW4" s="347"/>
    </row>
    <row r="5" spans="1:49" s="218" customFormat="1" ht="48" customHeight="1" x14ac:dyDescent="0.25">
      <c r="A5" s="816" t="s">
        <v>399</v>
      </c>
      <c r="B5" s="817"/>
      <c r="C5" s="817"/>
      <c r="D5" s="817"/>
      <c r="E5" s="817"/>
      <c r="F5" s="817"/>
      <c r="G5" s="817"/>
      <c r="H5" s="817"/>
      <c r="I5" s="352"/>
      <c r="J5" s="353"/>
      <c r="K5" s="353"/>
      <c r="L5" s="353"/>
      <c r="M5" s="353"/>
      <c r="N5" s="353"/>
      <c r="O5" s="353"/>
      <c r="P5" s="353"/>
      <c r="Q5" s="353"/>
      <c r="R5" s="353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  <c r="AQ5" s="347"/>
      <c r="AR5" s="347"/>
      <c r="AS5" s="347"/>
      <c r="AT5" s="347"/>
      <c r="AU5" s="347"/>
      <c r="AV5" s="347"/>
      <c r="AW5" s="347"/>
    </row>
    <row r="6" spans="1:49" s="218" customFormat="1" ht="22.5" customHeight="1" thickBot="1" x14ac:dyDescent="0.25">
      <c r="A6" s="807" t="s">
        <v>513</v>
      </c>
      <c r="B6" s="807"/>
      <c r="C6" s="807"/>
      <c r="D6" s="807"/>
      <c r="E6" s="807"/>
      <c r="F6" s="807"/>
      <c r="G6" s="807"/>
      <c r="H6" s="807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  <c r="AN6" s="347"/>
      <c r="AO6" s="347"/>
      <c r="AP6" s="347"/>
      <c r="AQ6" s="347"/>
      <c r="AR6" s="347"/>
      <c r="AS6" s="347"/>
      <c r="AT6" s="347"/>
      <c r="AU6" s="347"/>
      <c r="AV6" s="347"/>
      <c r="AW6" s="347"/>
    </row>
    <row r="7" spans="1:49" ht="15.75" x14ac:dyDescent="0.25">
      <c r="A7" s="422"/>
      <c r="B7" s="423"/>
      <c r="C7" s="424">
        <v>2020</v>
      </c>
      <c r="D7" s="424">
        <v>2021</v>
      </c>
      <c r="E7" s="424">
        <v>2022</v>
      </c>
      <c r="F7" s="424">
        <v>2023</v>
      </c>
      <c r="G7" s="425"/>
      <c r="H7" s="426" t="s">
        <v>100</v>
      </c>
      <c r="I7" s="427"/>
    </row>
    <row r="8" spans="1:49" ht="15.75" x14ac:dyDescent="0.25">
      <c r="A8" s="428"/>
      <c r="B8" s="429" t="s">
        <v>400</v>
      </c>
      <c r="C8" s="430"/>
      <c r="D8" s="430"/>
      <c r="E8" s="430"/>
      <c r="F8" s="430"/>
      <c r="G8" s="430"/>
      <c r="H8" s="431"/>
      <c r="I8" s="432"/>
    </row>
    <row r="9" spans="1:49" ht="15.75" x14ac:dyDescent="0.25">
      <c r="A9" s="428"/>
      <c r="B9" s="429"/>
      <c r="C9" s="430"/>
      <c r="D9" s="430"/>
      <c r="E9" s="430"/>
      <c r="F9" s="430"/>
      <c r="G9" s="430"/>
      <c r="H9" s="431"/>
      <c r="I9" s="432"/>
    </row>
    <row r="10" spans="1:49" ht="15.75" x14ac:dyDescent="0.25">
      <c r="A10" s="433"/>
      <c r="B10" s="429" t="s">
        <v>401</v>
      </c>
      <c r="C10" s="434"/>
      <c r="D10" s="434"/>
      <c r="E10" s="434"/>
      <c r="F10" s="434"/>
      <c r="G10" s="434"/>
      <c r="H10" s="435"/>
      <c r="I10" s="436"/>
      <c r="J10" s="302"/>
    </row>
    <row r="11" spans="1:49" ht="15.75" x14ac:dyDescent="0.25">
      <c r="A11" s="433"/>
      <c r="B11" s="437"/>
      <c r="C11" s="434"/>
      <c r="D11" s="434"/>
      <c r="E11" s="434"/>
      <c r="F11" s="434"/>
      <c r="G11" s="434"/>
      <c r="H11" s="435">
        <f>SUM(B11:G11)</f>
        <v>0</v>
      </c>
      <c r="I11" s="436"/>
      <c r="J11" s="302"/>
    </row>
    <row r="12" spans="1:49" ht="15.75" x14ac:dyDescent="0.25">
      <c r="A12" s="433"/>
      <c r="B12" s="438"/>
      <c r="C12" s="434"/>
      <c r="D12" s="434"/>
      <c r="E12" s="434"/>
      <c r="F12" s="434"/>
      <c r="G12" s="434"/>
      <c r="H12" s="435"/>
      <c r="I12" s="436"/>
      <c r="J12" s="302"/>
    </row>
    <row r="13" spans="1:49" ht="16.5" thickBot="1" x14ac:dyDescent="0.3">
      <c r="A13" s="439"/>
      <c r="B13" s="440" t="s">
        <v>402</v>
      </c>
      <c r="C13" s="441">
        <f t="shared" ref="C13:H13" si="0">SUM(C10:C12)</f>
        <v>0</v>
      </c>
      <c r="D13" s="441">
        <f t="shared" si="0"/>
        <v>0</v>
      </c>
      <c r="E13" s="441">
        <f t="shared" si="0"/>
        <v>0</v>
      </c>
      <c r="F13" s="441">
        <f t="shared" si="0"/>
        <v>0</v>
      </c>
      <c r="G13" s="441"/>
      <c r="H13" s="442">
        <f t="shared" si="0"/>
        <v>0</v>
      </c>
      <c r="I13" s="436"/>
      <c r="J13" s="302"/>
    </row>
    <row r="14" spans="1:49" ht="15.75" x14ac:dyDescent="0.25">
      <c r="A14" s="432"/>
      <c r="B14" s="443"/>
      <c r="C14" s="444"/>
      <c r="D14" s="444"/>
      <c r="E14" s="444"/>
      <c r="F14" s="444"/>
      <c r="G14" s="444"/>
      <c r="H14" s="444"/>
      <c r="I14" s="444"/>
      <c r="J14" s="302"/>
    </row>
    <row r="15" spans="1:49" ht="15.75" x14ac:dyDescent="0.25">
      <c r="A15" s="445"/>
      <c r="B15" s="445"/>
      <c r="C15" s="446"/>
      <c r="D15" s="446"/>
      <c r="E15" s="446"/>
      <c r="F15" s="446"/>
      <c r="G15" s="446"/>
      <c r="H15" s="436"/>
      <c r="I15" s="436"/>
      <c r="J15" s="302"/>
    </row>
    <row r="16" spans="1:49" ht="15.75" x14ac:dyDescent="0.25">
      <c r="A16" s="445"/>
      <c r="B16" s="445"/>
      <c r="C16" s="446"/>
      <c r="D16" s="446"/>
      <c r="E16" s="446"/>
      <c r="F16" s="446"/>
      <c r="G16" s="446"/>
      <c r="H16" s="436"/>
      <c r="I16" s="436"/>
      <c r="J16" s="302"/>
    </row>
    <row r="17" spans="1:10" ht="15.75" x14ac:dyDescent="0.25">
      <c r="A17" s="445"/>
      <c r="B17" s="445"/>
      <c r="C17" s="447"/>
      <c r="D17" s="447"/>
      <c r="E17" s="447"/>
      <c r="F17" s="447"/>
      <c r="G17" s="447"/>
      <c r="H17" s="447"/>
      <c r="I17" s="436"/>
      <c r="J17" s="302"/>
    </row>
    <row r="18" spans="1:10" ht="15.75" x14ac:dyDescent="0.25">
      <c r="A18" s="448"/>
      <c r="B18" s="400"/>
      <c r="C18" s="436"/>
      <c r="D18" s="436"/>
      <c r="E18" s="436"/>
      <c r="F18" s="436"/>
      <c r="G18" s="436"/>
      <c r="H18" s="436"/>
      <c r="I18" s="436"/>
      <c r="J18" s="302"/>
    </row>
    <row r="19" spans="1:10" ht="15.75" x14ac:dyDescent="0.25">
      <c r="A19" s="448"/>
      <c r="B19" s="400"/>
      <c r="C19" s="436"/>
      <c r="D19" s="436"/>
      <c r="E19" s="436"/>
      <c r="F19" s="436"/>
      <c r="G19" s="436"/>
      <c r="H19" s="436"/>
      <c r="I19" s="436"/>
      <c r="J19" s="302"/>
    </row>
    <row r="20" spans="1:10" ht="15.75" x14ac:dyDescent="0.25">
      <c r="A20" s="448"/>
      <c r="B20" s="443"/>
      <c r="C20" s="444"/>
      <c r="D20" s="444"/>
      <c r="E20" s="444"/>
      <c r="F20" s="444"/>
      <c r="G20" s="444"/>
      <c r="H20" s="444"/>
      <c r="I20" s="444"/>
      <c r="J20" s="302"/>
    </row>
    <row r="21" spans="1:10" x14ac:dyDescent="0.2">
      <c r="A21" s="259"/>
      <c r="B21" s="328"/>
      <c r="C21" s="328"/>
      <c r="D21" s="328"/>
      <c r="E21" s="261"/>
      <c r="F21" s="261"/>
      <c r="G21" s="261"/>
      <c r="H21" s="261"/>
      <c r="I21" s="261"/>
      <c r="J21" s="302"/>
    </row>
    <row r="22" spans="1:10" x14ac:dyDescent="0.2">
      <c r="A22" s="449"/>
      <c r="B22" s="328"/>
      <c r="C22" s="328"/>
      <c r="D22" s="328"/>
      <c r="E22" s="261"/>
      <c r="F22" s="261"/>
      <c r="G22" s="261"/>
      <c r="H22" s="261"/>
      <c r="I22" s="261"/>
      <c r="J22" s="302"/>
    </row>
    <row r="23" spans="1:10" x14ac:dyDescent="0.2">
      <c r="A23" s="449"/>
      <c r="B23" s="328"/>
      <c r="C23" s="328"/>
      <c r="D23" s="328"/>
      <c r="E23" s="261"/>
      <c r="F23" s="261"/>
      <c r="G23" s="261"/>
      <c r="H23" s="261"/>
      <c r="I23" s="261"/>
      <c r="J23" s="302"/>
    </row>
    <row r="24" spans="1:10" x14ac:dyDescent="0.2">
      <c r="A24" s="449"/>
      <c r="B24" s="328"/>
      <c r="C24" s="328"/>
      <c r="D24" s="328"/>
      <c r="E24" s="450"/>
      <c r="F24" s="450"/>
      <c r="G24" s="450"/>
      <c r="H24" s="302"/>
      <c r="I24" s="302"/>
      <c r="J24" s="302"/>
    </row>
    <row r="25" spans="1:10" x14ac:dyDescent="0.2">
      <c r="A25" s="259"/>
      <c r="B25" s="328"/>
      <c r="C25" s="328"/>
      <c r="D25" s="328"/>
      <c r="E25" s="450"/>
      <c r="F25" s="450"/>
      <c r="G25" s="450"/>
      <c r="H25" s="302"/>
      <c r="I25" s="302"/>
      <c r="J25" s="302"/>
    </row>
    <row r="26" spans="1:10" x14ac:dyDescent="0.2">
      <c r="A26" s="449"/>
      <c r="B26" s="451"/>
      <c r="C26" s="451"/>
      <c r="D26" s="328"/>
      <c r="E26" s="450"/>
      <c r="F26" s="450"/>
      <c r="G26" s="450"/>
      <c r="H26" s="302"/>
      <c r="I26" s="302"/>
      <c r="J26" s="302"/>
    </row>
    <row r="27" spans="1:10" x14ac:dyDescent="0.2">
      <c r="A27" s="449"/>
      <c r="B27" s="328"/>
      <c r="C27" s="328"/>
      <c r="D27" s="328"/>
      <c r="E27" s="450"/>
      <c r="F27" s="450"/>
      <c r="G27" s="450"/>
      <c r="H27" s="302"/>
      <c r="I27" s="302"/>
      <c r="J27" s="302"/>
    </row>
    <row r="28" spans="1:10" x14ac:dyDescent="0.2">
      <c r="A28" s="259"/>
      <c r="B28" s="328"/>
      <c r="C28" s="328"/>
      <c r="D28" s="328"/>
      <c r="E28" s="450"/>
      <c r="F28" s="450"/>
      <c r="G28" s="450"/>
      <c r="H28" s="302"/>
      <c r="I28" s="302"/>
      <c r="J28" s="302"/>
    </row>
    <row r="29" spans="1:10" x14ac:dyDescent="0.2">
      <c r="A29" s="259"/>
      <c r="B29" s="328"/>
      <c r="C29" s="328"/>
      <c r="D29" s="328"/>
      <c r="E29" s="450"/>
      <c r="F29" s="450"/>
      <c r="G29" s="450"/>
      <c r="H29" s="302"/>
      <c r="I29" s="302"/>
      <c r="J29" s="302"/>
    </row>
    <row r="30" spans="1:10" x14ac:dyDescent="0.2">
      <c r="A30" s="449"/>
      <c r="B30" s="328"/>
      <c r="C30" s="328"/>
      <c r="D30" s="328"/>
      <c r="E30" s="450"/>
      <c r="F30" s="450"/>
      <c r="G30" s="450"/>
      <c r="H30" s="302"/>
      <c r="I30" s="302"/>
      <c r="J30" s="302"/>
    </row>
    <row r="31" spans="1:10" x14ac:dyDescent="0.2">
      <c r="A31" s="259"/>
      <c r="B31" s="328"/>
      <c r="C31" s="328"/>
      <c r="D31" s="328"/>
      <c r="E31" s="450"/>
      <c r="F31" s="450"/>
      <c r="G31" s="450"/>
      <c r="H31" s="302"/>
      <c r="I31" s="302"/>
      <c r="J31" s="302"/>
    </row>
    <row r="32" spans="1:10" x14ac:dyDescent="0.2">
      <c r="A32" s="259"/>
      <c r="B32" s="328"/>
      <c r="C32" s="328"/>
      <c r="D32" s="328"/>
      <c r="E32" s="450"/>
      <c r="F32" s="450"/>
      <c r="G32" s="450"/>
      <c r="H32" s="302"/>
      <c r="I32" s="302"/>
      <c r="J32" s="302"/>
    </row>
    <row r="33" spans="1:10" x14ac:dyDescent="0.2">
      <c r="A33" s="449"/>
      <c r="B33" s="451"/>
      <c r="C33" s="451"/>
      <c r="D33" s="328"/>
      <c r="E33" s="450"/>
      <c r="F33" s="450"/>
      <c r="G33" s="450"/>
      <c r="H33" s="302"/>
      <c r="I33" s="302"/>
      <c r="J33" s="302"/>
    </row>
    <row r="34" spans="1:10" x14ac:dyDescent="0.2">
      <c r="A34" s="449"/>
      <c r="B34" s="328"/>
      <c r="C34" s="328"/>
      <c r="D34" s="328"/>
      <c r="E34" s="450"/>
      <c r="F34" s="450"/>
      <c r="G34" s="450"/>
      <c r="H34" s="302"/>
      <c r="I34" s="302"/>
      <c r="J34" s="302"/>
    </row>
    <row r="35" spans="1:10" x14ac:dyDescent="0.2">
      <c r="A35" s="449"/>
      <c r="B35" s="451"/>
      <c r="C35" s="451"/>
      <c r="D35" s="328"/>
      <c r="E35" s="450"/>
      <c r="F35" s="450"/>
      <c r="G35" s="450"/>
      <c r="H35" s="302"/>
      <c r="I35" s="302"/>
      <c r="J35" s="302"/>
    </row>
    <row r="36" spans="1:10" x14ac:dyDescent="0.2">
      <c r="A36" s="449"/>
      <c r="B36" s="451"/>
      <c r="C36" s="451"/>
      <c r="D36" s="328"/>
      <c r="E36" s="450"/>
      <c r="F36" s="450"/>
      <c r="G36" s="450"/>
      <c r="H36" s="302"/>
      <c r="I36" s="302"/>
      <c r="J36" s="302"/>
    </row>
    <row r="37" spans="1:10" x14ac:dyDescent="0.2">
      <c r="A37" s="449"/>
      <c r="B37" s="451"/>
      <c r="C37" s="451"/>
      <c r="D37" s="328"/>
      <c r="E37" s="450"/>
      <c r="F37" s="450"/>
      <c r="G37" s="450"/>
      <c r="H37" s="302"/>
      <c r="I37" s="302"/>
      <c r="J37" s="302"/>
    </row>
    <row r="38" spans="1:10" x14ac:dyDescent="0.2">
      <c r="A38" s="449"/>
      <c r="B38" s="452"/>
      <c r="C38" s="328"/>
      <c r="D38" s="261"/>
      <c r="E38" s="450"/>
      <c r="F38" s="450"/>
      <c r="G38" s="450"/>
      <c r="H38" s="302"/>
      <c r="I38" s="302"/>
      <c r="J38" s="302"/>
    </row>
    <row r="39" spans="1:10" x14ac:dyDescent="0.2">
      <c r="A39" s="452"/>
      <c r="B39" s="453"/>
      <c r="C39" s="451"/>
      <c r="D39" s="261"/>
      <c r="E39" s="450"/>
      <c r="F39" s="450"/>
      <c r="G39" s="450"/>
      <c r="H39" s="302"/>
      <c r="I39" s="302"/>
      <c r="J39" s="302"/>
    </row>
    <row r="40" spans="1:10" x14ac:dyDescent="0.2">
      <c r="A40" s="259"/>
      <c r="B40" s="454"/>
      <c r="C40" s="264"/>
      <c r="D40" s="261"/>
      <c r="E40" s="302"/>
      <c r="F40" s="302"/>
      <c r="G40" s="302"/>
      <c r="H40" s="302"/>
      <c r="I40" s="302"/>
      <c r="J40" s="302"/>
    </row>
    <row r="41" spans="1:10" x14ac:dyDescent="0.2">
      <c r="A41" s="259"/>
      <c r="B41" s="259"/>
      <c r="C41" s="261"/>
      <c r="D41" s="261"/>
      <c r="E41" s="302"/>
      <c r="F41" s="302"/>
      <c r="G41" s="302"/>
      <c r="H41" s="302"/>
      <c r="I41" s="302"/>
      <c r="J41" s="302"/>
    </row>
    <row r="42" spans="1:10" x14ac:dyDescent="0.2">
      <c r="A42" s="309"/>
      <c r="B42" s="309"/>
      <c r="C42" s="450"/>
      <c r="D42" s="450"/>
      <c r="E42" s="302"/>
      <c r="F42" s="302"/>
      <c r="G42" s="302"/>
      <c r="H42" s="302"/>
      <c r="I42" s="302"/>
      <c r="J42" s="302"/>
    </row>
    <row r="43" spans="1:10" x14ac:dyDescent="0.2">
      <c r="A43" s="309"/>
      <c r="B43" s="309"/>
      <c r="C43" s="450"/>
      <c r="D43" s="450"/>
      <c r="E43" s="302"/>
      <c r="F43" s="302"/>
      <c r="G43" s="302"/>
      <c r="H43" s="302"/>
      <c r="I43" s="302"/>
      <c r="J43" s="302"/>
    </row>
    <row r="44" spans="1:10" x14ac:dyDescent="0.2">
      <c r="C44" s="302"/>
      <c r="D44" s="302"/>
      <c r="E44" s="302"/>
      <c r="F44" s="302"/>
      <c r="G44" s="302"/>
      <c r="H44" s="302"/>
      <c r="I44" s="302"/>
      <c r="J44" s="302"/>
    </row>
    <row r="45" spans="1:10" x14ac:dyDescent="0.2">
      <c r="C45" s="302"/>
      <c r="D45" s="302"/>
      <c r="E45" s="302"/>
      <c r="F45" s="302"/>
      <c r="G45" s="302"/>
      <c r="H45" s="302"/>
      <c r="I45" s="302"/>
      <c r="J45" s="302"/>
    </row>
    <row r="46" spans="1:10" x14ac:dyDescent="0.2">
      <c r="C46" s="302"/>
      <c r="D46" s="302"/>
      <c r="E46" s="302"/>
      <c r="F46" s="302"/>
      <c r="G46" s="302"/>
      <c r="H46" s="302"/>
      <c r="I46" s="302"/>
      <c r="J46" s="302"/>
    </row>
    <row r="47" spans="1:10" x14ac:dyDescent="0.2">
      <c r="C47" s="302"/>
      <c r="D47" s="302"/>
      <c r="E47" s="302"/>
      <c r="F47" s="302"/>
      <c r="G47" s="302"/>
      <c r="H47" s="302"/>
      <c r="I47" s="302"/>
      <c r="J47" s="302"/>
    </row>
    <row r="48" spans="1:10" x14ac:dyDescent="0.2">
      <c r="C48" s="302"/>
      <c r="D48" s="302"/>
      <c r="E48" s="302"/>
      <c r="F48" s="302"/>
      <c r="G48" s="302"/>
      <c r="H48" s="302"/>
      <c r="I48" s="302"/>
      <c r="J48" s="302"/>
    </row>
    <row r="49" spans="3:10" x14ac:dyDescent="0.2">
      <c r="C49" s="302"/>
      <c r="D49" s="302"/>
      <c r="E49" s="302"/>
      <c r="F49" s="302"/>
      <c r="G49" s="302"/>
      <c r="H49" s="302"/>
      <c r="I49" s="302"/>
      <c r="J49" s="302"/>
    </row>
    <row r="50" spans="3:10" x14ac:dyDescent="0.2">
      <c r="C50" s="302"/>
      <c r="D50" s="302"/>
      <c r="E50" s="302"/>
      <c r="F50" s="302"/>
      <c r="G50" s="302"/>
      <c r="H50" s="302"/>
      <c r="I50" s="302"/>
      <c r="J50" s="302"/>
    </row>
    <row r="51" spans="3:10" x14ac:dyDescent="0.2">
      <c r="C51" s="302"/>
      <c r="D51" s="302"/>
      <c r="E51" s="302"/>
      <c r="F51" s="302"/>
      <c r="G51" s="302"/>
      <c r="H51" s="302"/>
      <c r="I51" s="302"/>
      <c r="J51" s="302"/>
    </row>
    <row r="52" spans="3:10" x14ac:dyDescent="0.2">
      <c r="C52" s="302"/>
      <c r="D52" s="302"/>
      <c r="E52" s="302"/>
      <c r="F52" s="302"/>
      <c r="G52" s="302"/>
      <c r="H52" s="302"/>
      <c r="I52" s="302"/>
      <c r="J52" s="302"/>
    </row>
    <row r="53" spans="3:10" x14ac:dyDescent="0.2">
      <c r="C53" s="302"/>
      <c r="D53" s="302"/>
      <c r="E53" s="302"/>
      <c r="F53" s="302"/>
      <c r="G53" s="302"/>
      <c r="H53" s="302"/>
      <c r="I53" s="302"/>
      <c r="J53" s="302"/>
    </row>
    <row r="54" spans="3:10" x14ac:dyDescent="0.2">
      <c r="C54" s="302"/>
      <c r="D54" s="302"/>
      <c r="E54" s="302"/>
      <c r="F54" s="302"/>
      <c r="G54" s="302"/>
      <c r="H54" s="302"/>
      <c r="I54" s="302"/>
      <c r="J54" s="302"/>
    </row>
    <row r="55" spans="3:10" x14ac:dyDescent="0.2">
      <c r="C55" s="302"/>
      <c r="D55" s="302"/>
      <c r="E55" s="302"/>
      <c r="F55" s="302"/>
      <c r="G55" s="302"/>
      <c r="H55" s="302"/>
      <c r="I55" s="302"/>
      <c r="J55" s="302"/>
    </row>
    <row r="56" spans="3:10" x14ac:dyDescent="0.2">
      <c r="C56" s="302"/>
      <c r="D56" s="302"/>
      <c r="E56" s="302"/>
      <c r="F56" s="302"/>
      <c r="G56" s="302"/>
      <c r="H56" s="302"/>
      <c r="I56" s="302"/>
      <c r="J56" s="302"/>
    </row>
    <row r="57" spans="3:10" x14ac:dyDescent="0.2">
      <c r="C57" s="302"/>
      <c r="D57" s="302"/>
      <c r="E57" s="302"/>
      <c r="F57" s="302"/>
      <c r="G57" s="302"/>
      <c r="H57" s="302"/>
      <c r="I57" s="302"/>
      <c r="J57" s="302"/>
    </row>
    <row r="58" spans="3:10" x14ac:dyDescent="0.2">
      <c r="C58" s="302"/>
      <c r="D58" s="302"/>
      <c r="E58" s="302"/>
      <c r="F58" s="302"/>
      <c r="G58" s="302"/>
      <c r="H58" s="302"/>
      <c r="I58" s="302"/>
      <c r="J58" s="302"/>
    </row>
    <row r="59" spans="3:10" x14ac:dyDescent="0.2">
      <c r="C59" s="302"/>
      <c r="D59" s="302"/>
      <c r="E59" s="302"/>
      <c r="F59" s="302"/>
      <c r="G59" s="302"/>
      <c r="H59" s="302"/>
      <c r="I59" s="302"/>
      <c r="J59" s="302"/>
    </row>
    <row r="60" spans="3:10" x14ac:dyDescent="0.2">
      <c r="C60" s="302"/>
      <c r="D60" s="302"/>
      <c r="E60" s="302"/>
      <c r="F60" s="302"/>
      <c r="G60" s="302"/>
      <c r="H60" s="302"/>
      <c r="I60" s="302"/>
      <c r="J60" s="302"/>
    </row>
    <row r="61" spans="3:10" x14ac:dyDescent="0.2">
      <c r="C61" s="302"/>
      <c r="D61" s="302"/>
      <c r="E61" s="302"/>
      <c r="F61" s="302"/>
      <c r="G61" s="302"/>
      <c r="H61" s="302"/>
      <c r="I61" s="302"/>
      <c r="J61" s="302"/>
    </row>
    <row r="62" spans="3:10" x14ac:dyDescent="0.2">
      <c r="C62" s="302"/>
      <c r="D62" s="302"/>
      <c r="E62" s="302"/>
      <c r="F62" s="302"/>
      <c r="G62" s="302"/>
      <c r="H62" s="302"/>
      <c r="I62" s="302"/>
      <c r="J62" s="302"/>
    </row>
  </sheetData>
  <mergeCells count="4">
    <mergeCell ref="A1:H1"/>
    <mergeCell ref="A3:H3"/>
    <mergeCell ref="A5:H5"/>
    <mergeCell ref="A6:H6"/>
  </mergeCells>
  <printOptions horizontalCentered="1"/>
  <pageMargins left="0.74803149606299213" right="0.74803149606299213" top="0.20833333333333334" bottom="0.98425196850393704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A0E0E-A3BE-4C58-ADFB-B64A9E63B81C}">
  <sheetPr>
    <tabColor rgb="FFFFC000"/>
  </sheetPr>
  <dimension ref="A1:AW51"/>
  <sheetViews>
    <sheetView view="pageLayout" zoomScaleNormal="93" workbookViewId="0">
      <selection sqref="A1:N1"/>
    </sheetView>
  </sheetViews>
  <sheetFormatPr defaultRowHeight="12" x14ac:dyDescent="0.2"/>
  <cols>
    <col min="1" max="1" width="23.5703125" style="481" customWidth="1"/>
    <col min="2" max="2" width="9.5703125" style="218" bestFit="1" customWidth="1"/>
    <col min="3" max="3" width="8.7109375" style="218" bestFit="1" customWidth="1"/>
    <col min="4" max="4" width="8.5703125" style="218" customWidth="1"/>
    <col min="5" max="13" width="8.7109375" style="218" bestFit="1" customWidth="1"/>
    <col min="14" max="14" width="11" style="218" customWidth="1"/>
    <col min="15" max="15" width="13.5703125" style="218" customWidth="1"/>
    <col min="16" max="16" width="10.85546875" style="218" customWidth="1"/>
    <col min="17" max="16384" width="9.140625" style="218"/>
  </cols>
  <sheetData>
    <row r="1" spans="1:49" ht="15" customHeight="1" x14ac:dyDescent="0.2">
      <c r="A1" s="812" t="s">
        <v>598</v>
      </c>
      <c r="B1" s="813"/>
      <c r="C1" s="813"/>
      <c r="D1" s="813"/>
      <c r="E1" s="813"/>
      <c r="F1" s="813"/>
      <c r="G1" s="813"/>
      <c r="H1" s="813"/>
      <c r="I1" s="813"/>
      <c r="J1" s="813"/>
      <c r="K1" s="813"/>
      <c r="L1" s="813"/>
      <c r="M1" s="813"/>
      <c r="N1" s="813"/>
      <c r="O1" s="346"/>
      <c r="P1" s="346"/>
      <c r="Q1" s="346"/>
      <c r="R1" s="346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  <c r="AO1" s="347"/>
      <c r="AP1" s="347"/>
      <c r="AQ1" s="347"/>
      <c r="AR1" s="347"/>
      <c r="AS1" s="347"/>
      <c r="AT1" s="347"/>
      <c r="AU1" s="347"/>
      <c r="AV1" s="347"/>
      <c r="AW1" s="347"/>
    </row>
    <row r="2" spans="1:49" ht="5.25" customHeight="1" x14ac:dyDescent="0.2">
      <c r="A2" s="219"/>
      <c r="B2" s="220"/>
      <c r="C2" s="220"/>
      <c r="D2" s="220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347"/>
      <c r="AN2" s="347"/>
      <c r="AO2" s="347"/>
      <c r="AP2" s="347"/>
      <c r="AQ2" s="347"/>
      <c r="AR2" s="347"/>
      <c r="AS2" s="347"/>
      <c r="AT2" s="347"/>
      <c r="AU2" s="347"/>
      <c r="AV2" s="347"/>
      <c r="AW2" s="347"/>
    </row>
    <row r="3" spans="1:49" ht="19.5" customHeight="1" x14ac:dyDescent="0.2">
      <c r="A3" s="812" t="s">
        <v>561</v>
      </c>
      <c r="B3" s="813"/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3"/>
      <c r="O3" s="346"/>
      <c r="P3" s="346"/>
      <c r="Q3" s="346"/>
      <c r="R3" s="346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7"/>
      <c r="AK3" s="347"/>
      <c r="AL3" s="347"/>
      <c r="AM3" s="347"/>
      <c r="AN3" s="347"/>
      <c r="AO3" s="347"/>
      <c r="AP3" s="347"/>
      <c r="AQ3" s="347"/>
      <c r="AR3" s="347"/>
      <c r="AS3" s="347"/>
      <c r="AT3" s="347"/>
      <c r="AU3" s="347"/>
      <c r="AV3" s="347"/>
      <c r="AW3" s="347"/>
    </row>
    <row r="4" spans="1:49" x14ac:dyDescent="0.2">
      <c r="A4" s="223"/>
      <c r="B4" s="224"/>
      <c r="C4" s="224"/>
      <c r="D4" s="224"/>
      <c r="E4" s="350"/>
      <c r="F4" s="350"/>
      <c r="G4" s="350"/>
      <c r="H4" s="350"/>
      <c r="I4" s="350"/>
      <c r="J4" s="351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47"/>
      <c r="AQ4" s="347"/>
      <c r="AR4" s="347"/>
      <c r="AS4" s="347"/>
      <c r="AT4" s="347"/>
      <c r="AU4" s="347"/>
      <c r="AV4" s="347"/>
      <c r="AW4" s="347"/>
    </row>
    <row r="5" spans="1:49" ht="16.5" x14ac:dyDescent="0.25">
      <c r="A5" s="818" t="s">
        <v>403</v>
      </c>
      <c r="B5" s="819"/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819"/>
      <c r="O5" s="353"/>
      <c r="P5" s="353"/>
      <c r="Q5" s="353"/>
      <c r="R5" s="353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  <c r="AQ5" s="347"/>
      <c r="AR5" s="347"/>
      <c r="AS5" s="347"/>
      <c r="AT5" s="347"/>
      <c r="AU5" s="347"/>
      <c r="AV5" s="347"/>
      <c r="AW5" s="347"/>
    </row>
    <row r="6" spans="1:49" ht="12.75" customHeight="1" thickBot="1" x14ac:dyDescent="0.25">
      <c r="A6" s="820" t="s">
        <v>339</v>
      </c>
      <c r="B6" s="820"/>
      <c r="C6" s="820"/>
      <c r="D6" s="820"/>
      <c r="E6" s="820"/>
      <c r="F6" s="820"/>
      <c r="G6" s="820"/>
      <c r="H6" s="820"/>
      <c r="I6" s="820"/>
      <c r="J6" s="820"/>
      <c r="K6" s="820"/>
      <c r="L6" s="820"/>
      <c r="M6" s="820"/>
      <c r="N6" s="820"/>
      <c r="O6" s="346"/>
      <c r="P6" s="346"/>
      <c r="Q6" s="346"/>
      <c r="R6" s="346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  <c r="AN6" s="347"/>
      <c r="AO6" s="347"/>
      <c r="AP6" s="347"/>
      <c r="AQ6" s="347"/>
      <c r="AR6" s="347"/>
      <c r="AS6" s="347"/>
      <c r="AT6" s="347"/>
      <c r="AU6" s="347"/>
      <c r="AV6" s="347"/>
      <c r="AW6" s="347"/>
    </row>
    <row r="7" spans="1:49" x14ac:dyDescent="0.2">
      <c r="A7" s="456" t="s">
        <v>379</v>
      </c>
      <c r="B7" s="457" t="s">
        <v>404</v>
      </c>
      <c r="C7" s="457" t="s">
        <v>405</v>
      </c>
      <c r="D7" s="457" t="s">
        <v>406</v>
      </c>
      <c r="E7" s="457" t="s">
        <v>407</v>
      </c>
      <c r="F7" s="457" t="s">
        <v>408</v>
      </c>
      <c r="G7" s="457" t="s">
        <v>409</v>
      </c>
      <c r="H7" s="457" t="s">
        <v>410</v>
      </c>
      <c r="I7" s="457" t="s">
        <v>411</v>
      </c>
      <c r="J7" s="457" t="s">
        <v>412</v>
      </c>
      <c r="K7" s="457" t="s">
        <v>413</v>
      </c>
      <c r="L7" s="457" t="s">
        <v>414</v>
      </c>
      <c r="M7" s="457" t="s">
        <v>415</v>
      </c>
      <c r="N7" s="458" t="s">
        <v>100</v>
      </c>
    </row>
    <row r="8" spans="1:49" x14ac:dyDescent="0.2">
      <c r="A8" s="459" t="s">
        <v>416</v>
      </c>
      <c r="B8" s="460"/>
      <c r="C8" s="460"/>
      <c r="D8" s="460"/>
      <c r="E8" s="460"/>
      <c r="F8" s="460"/>
      <c r="G8" s="460"/>
      <c r="H8" s="460"/>
      <c r="I8" s="460"/>
      <c r="J8" s="460"/>
      <c r="K8" s="460"/>
      <c r="L8" s="460"/>
      <c r="M8" s="460"/>
      <c r="N8" s="461"/>
    </row>
    <row r="9" spans="1:49" x14ac:dyDescent="0.2">
      <c r="A9" s="462" t="s">
        <v>73</v>
      </c>
      <c r="B9" s="617">
        <f>'1.melléklet.Önkormányzat'!D25/12</f>
        <v>6625000</v>
      </c>
      <c r="C9" s="617">
        <f t="shared" ref="C9:C16" si="0">+B9</f>
        <v>6625000</v>
      </c>
      <c r="D9" s="617">
        <f t="shared" ref="D9:M9" si="1">+C9</f>
        <v>6625000</v>
      </c>
      <c r="E9" s="617">
        <f t="shared" si="1"/>
        <v>6625000</v>
      </c>
      <c r="F9" s="617">
        <f t="shared" si="1"/>
        <v>6625000</v>
      </c>
      <c r="G9" s="617">
        <f t="shared" si="1"/>
        <v>6625000</v>
      </c>
      <c r="H9" s="617">
        <f t="shared" si="1"/>
        <v>6625000</v>
      </c>
      <c r="I9" s="617">
        <f t="shared" si="1"/>
        <v>6625000</v>
      </c>
      <c r="J9" s="617">
        <f t="shared" si="1"/>
        <v>6625000</v>
      </c>
      <c r="K9" s="617">
        <f t="shared" si="1"/>
        <v>6625000</v>
      </c>
      <c r="L9" s="617">
        <f t="shared" si="1"/>
        <v>6625000</v>
      </c>
      <c r="M9" s="617">
        <f t="shared" si="1"/>
        <v>6625000</v>
      </c>
      <c r="N9" s="618">
        <f t="shared" ref="N9:N16" si="2">SUM(B9:M9)</f>
        <v>79500000</v>
      </c>
      <c r="O9" s="463"/>
      <c r="P9" s="390"/>
    </row>
    <row r="10" spans="1:49" x14ac:dyDescent="0.2">
      <c r="A10" s="462" t="s">
        <v>381</v>
      </c>
      <c r="B10" s="617">
        <f ca="1">'1.melléklet.Önkormányzat'!D32/12</f>
        <v>8763641.166666666</v>
      </c>
      <c r="C10" s="617">
        <f t="shared" ca="1" si="0"/>
        <v>8763641.166666666</v>
      </c>
      <c r="D10" s="617">
        <f t="shared" ref="D10:M10" ca="1" si="3">+C10</f>
        <v>8763641.166666666</v>
      </c>
      <c r="E10" s="617">
        <f t="shared" ca="1" si="3"/>
        <v>8763641.166666666</v>
      </c>
      <c r="F10" s="617">
        <f t="shared" ca="1" si="3"/>
        <v>8763641.166666666</v>
      </c>
      <c r="G10" s="617">
        <f t="shared" ca="1" si="3"/>
        <v>8763641.166666666</v>
      </c>
      <c r="H10" s="617">
        <f t="shared" ca="1" si="3"/>
        <v>8763641.166666666</v>
      </c>
      <c r="I10" s="617">
        <f t="shared" ca="1" si="3"/>
        <v>8763641.166666666</v>
      </c>
      <c r="J10" s="617">
        <f t="shared" ca="1" si="3"/>
        <v>8763641.166666666</v>
      </c>
      <c r="K10" s="617">
        <f t="shared" ca="1" si="3"/>
        <v>8763641.166666666</v>
      </c>
      <c r="L10" s="617">
        <f t="shared" ca="1" si="3"/>
        <v>8763641.166666666</v>
      </c>
      <c r="M10" s="617">
        <f t="shared" ca="1" si="3"/>
        <v>8763641.166666666</v>
      </c>
      <c r="N10" s="618">
        <f t="shared" ca="1" si="2"/>
        <v>105163694.00000001</v>
      </c>
      <c r="O10" s="463"/>
      <c r="P10" s="390"/>
    </row>
    <row r="11" spans="1:49" ht="25.5" customHeight="1" x14ac:dyDescent="0.2">
      <c r="A11" s="462" t="s">
        <v>382</v>
      </c>
      <c r="B11" s="617">
        <f>'2.melléklet.Önkormányzat.és int'!T39/12</f>
        <v>50000</v>
      </c>
      <c r="C11" s="617">
        <f t="shared" si="0"/>
        <v>50000</v>
      </c>
      <c r="D11" s="617">
        <f t="shared" ref="D11:M11" si="4">+C11</f>
        <v>50000</v>
      </c>
      <c r="E11" s="617">
        <f t="shared" si="4"/>
        <v>50000</v>
      </c>
      <c r="F11" s="617">
        <f t="shared" si="4"/>
        <v>50000</v>
      </c>
      <c r="G11" s="617">
        <f t="shared" si="4"/>
        <v>50000</v>
      </c>
      <c r="H11" s="617">
        <f t="shared" si="4"/>
        <v>50000</v>
      </c>
      <c r="I11" s="617">
        <f t="shared" si="4"/>
        <v>50000</v>
      </c>
      <c r="J11" s="617">
        <f t="shared" si="4"/>
        <v>50000</v>
      </c>
      <c r="K11" s="617">
        <f t="shared" si="4"/>
        <v>50000</v>
      </c>
      <c r="L11" s="617">
        <f t="shared" si="4"/>
        <v>50000</v>
      </c>
      <c r="M11" s="617">
        <f t="shared" si="4"/>
        <v>50000</v>
      </c>
      <c r="N11" s="618">
        <f t="shared" si="2"/>
        <v>600000</v>
      </c>
      <c r="O11" s="463"/>
      <c r="P11" s="390"/>
    </row>
    <row r="12" spans="1:49" ht="24" x14ac:dyDescent="0.2">
      <c r="A12" s="462" t="s">
        <v>87</v>
      </c>
      <c r="B12" s="617">
        <f>'2.melléklet.Önkormányzat.és int'!N39/12+'2.melléklet.Önkormányzat.és int'!J39/12</f>
        <v>52976526.333333328</v>
      </c>
      <c r="C12" s="617">
        <f t="shared" si="0"/>
        <v>52976526.333333328</v>
      </c>
      <c r="D12" s="617">
        <f t="shared" ref="D12:M12" si="5">+C12</f>
        <v>52976526.333333328</v>
      </c>
      <c r="E12" s="617">
        <f t="shared" si="5"/>
        <v>52976526.333333328</v>
      </c>
      <c r="F12" s="617">
        <f t="shared" si="5"/>
        <v>52976526.333333328</v>
      </c>
      <c r="G12" s="617">
        <f t="shared" si="5"/>
        <v>52976526.333333328</v>
      </c>
      <c r="H12" s="617">
        <f t="shared" si="5"/>
        <v>52976526.333333328</v>
      </c>
      <c r="I12" s="617">
        <f t="shared" si="5"/>
        <v>52976526.333333328</v>
      </c>
      <c r="J12" s="617">
        <f t="shared" si="5"/>
        <v>52976526.333333328</v>
      </c>
      <c r="K12" s="617">
        <f t="shared" si="5"/>
        <v>52976526.333333328</v>
      </c>
      <c r="L12" s="617">
        <f t="shared" si="5"/>
        <v>52976526.333333328</v>
      </c>
      <c r="M12" s="617">
        <f t="shared" si="5"/>
        <v>52976526.333333328</v>
      </c>
      <c r="N12" s="618">
        <f t="shared" si="2"/>
        <v>635718315.99999988</v>
      </c>
      <c r="O12" s="463"/>
      <c r="P12" s="390"/>
    </row>
    <row r="13" spans="1:49" x14ac:dyDescent="0.2">
      <c r="A13" s="462" t="s">
        <v>23</v>
      </c>
      <c r="B13" s="617">
        <f>'2.melléklet.Önkormányzat.és int'!V39/12</f>
        <v>0</v>
      </c>
      <c r="C13" s="617">
        <f t="shared" si="0"/>
        <v>0</v>
      </c>
      <c r="D13" s="617">
        <f t="shared" ref="D13:M13" si="6">+C13</f>
        <v>0</v>
      </c>
      <c r="E13" s="617">
        <f t="shared" si="6"/>
        <v>0</v>
      </c>
      <c r="F13" s="617">
        <f t="shared" si="6"/>
        <v>0</v>
      </c>
      <c r="G13" s="617">
        <f t="shared" si="6"/>
        <v>0</v>
      </c>
      <c r="H13" s="617">
        <f t="shared" si="6"/>
        <v>0</v>
      </c>
      <c r="I13" s="617">
        <f t="shared" si="6"/>
        <v>0</v>
      </c>
      <c r="J13" s="617">
        <f t="shared" si="6"/>
        <v>0</v>
      </c>
      <c r="K13" s="617">
        <f t="shared" si="6"/>
        <v>0</v>
      </c>
      <c r="L13" s="617">
        <f t="shared" si="6"/>
        <v>0</v>
      </c>
      <c r="M13" s="617">
        <f t="shared" si="6"/>
        <v>0</v>
      </c>
      <c r="N13" s="618">
        <f t="shared" si="2"/>
        <v>0</v>
      </c>
      <c r="O13" s="463"/>
      <c r="P13" s="390"/>
    </row>
    <row r="14" spans="1:49" ht="36" x14ac:dyDescent="0.2">
      <c r="A14" s="462" t="s">
        <v>389</v>
      </c>
      <c r="B14" s="617">
        <f>'2.melléklet.Önkormányzat.és int'!R39/12</f>
        <v>799173.58333333337</v>
      </c>
      <c r="C14" s="617">
        <f t="shared" si="0"/>
        <v>799173.58333333337</v>
      </c>
      <c r="D14" s="617">
        <f t="shared" ref="D14:M14" si="7">+C14</f>
        <v>799173.58333333337</v>
      </c>
      <c r="E14" s="617">
        <f t="shared" si="7"/>
        <v>799173.58333333337</v>
      </c>
      <c r="F14" s="617">
        <f t="shared" si="7"/>
        <v>799173.58333333337</v>
      </c>
      <c r="G14" s="617">
        <f t="shared" si="7"/>
        <v>799173.58333333337</v>
      </c>
      <c r="H14" s="617">
        <f t="shared" si="7"/>
        <v>799173.58333333337</v>
      </c>
      <c r="I14" s="617">
        <f t="shared" si="7"/>
        <v>799173.58333333337</v>
      </c>
      <c r="J14" s="617">
        <f t="shared" si="7"/>
        <v>799173.58333333337</v>
      </c>
      <c r="K14" s="617">
        <f t="shared" si="7"/>
        <v>799173.58333333337</v>
      </c>
      <c r="L14" s="617">
        <f t="shared" si="7"/>
        <v>799173.58333333337</v>
      </c>
      <c r="M14" s="617">
        <f t="shared" si="7"/>
        <v>799173.58333333337</v>
      </c>
      <c r="N14" s="618">
        <f t="shared" si="2"/>
        <v>9590083</v>
      </c>
      <c r="O14" s="463"/>
      <c r="P14" s="390"/>
    </row>
    <row r="15" spans="1:49" ht="24" x14ac:dyDescent="0.2">
      <c r="A15" s="462" t="s">
        <v>88</v>
      </c>
      <c r="B15" s="617">
        <f>'2.melléklet.Önkormányzat.és int'!P39</f>
        <v>0</v>
      </c>
      <c r="C15" s="617">
        <f t="shared" si="0"/>
        <v>0</v>
      </c>
      <c r="D15" s="617">
        <f t="shared" ref="D15:M15" si="8">+C15</f>
        <v>0</v>
      </c>
      <c r="E15" s="617">
        <f t="shared" si="8"/>
        <v>0</v>
      </c>
      <c r="F15" s="617">
        <f t="shared" si="8"/>
        <v>0</v>
      </c>
      <c r="G15" s="617">
        <f t="shared" si="8"/>
        <v>0</v>
      </c>
      <c r="H15" s="617">
        <f t="shared" si="8"/>
        <v>0</v>
      </c>
      <c r="I15" s="617">
        <f t="shared" si="8"/>
        <v>0</v>
      </c>
      <c r="J15" s="617">
        <f t="shared" si="8"/>
        <v>0</v>
      </c>
      <c r="K15" s="617">
        <f t="shared" si="8"/>
        <v>0</v>
      </c>
      <c r="L15" s="617">
        <f t="shared" si="8"/>
        <v>0</v>
      </c>
      <c r="M15" s="617">
        <f t="shared" si="8"/>
        <v>0</v>
      </c>
      <c r="N15" s="618">
        <f t="shared" si="2"/>
        <v>0</v>
      </c>
      <c r="O15" s="463"/>
      <c r="P15" s="390"/>
    </row>
    <row r="16" spans="1:49" ht="24" x14ac:dyDescent="0.2">
      <c r="A16" s="462" t="s">
        <v>152</v>
      </c>
      <c r="B16" s="617">
        <f ca="1">'1.melléklet.Önkormányzat'!D38/12</f>
        <v>18797081.833333332</v>
      </c>
      <c r="C16" s="617">
        <f t="shared" ca="1" si="0"/>
        <v>18797081.833333332</v>
      </c>
      <c r="D16" s="617">
        <f t="shared" ref="D16:M16" ca="1" si="9">+C16</f>
        <v>18797081.833333332</v>
      </c>
      <c r="E16" s="617">
        <f t="shared" ca="1" si="9"/>
        <v>18797081.833333332</v>
      </c>
      <c r="F16" s="617">
        <f t="shared" ca="1" si="9"/>
        <v>18797081.833333332</v>
      </c>
      <c r="G16" s="617">
        <f t="shared" ca="1" si="9"/>
        <v>18797081.833333332</v>
      </c>
      <c r="H16" s="617">
        <f t="shared" ca="1" si="9"/>
        <v>18797081.833333332</v>
      </c>
      <c r="I16" s="617">
        <f t="shared" ca="1" si="9"/>
        <v>18797081.833333332</v>
      </c>
      <c r="J16" s="617">
        <f t="shared" ca="1" si="9"/>
        <v>18797081.833333332</v>
      </c>
      <c r="K16" s="617">
        <f t="shared" ca="1" si="9"/>
        <v>18797081.833333332</v>
      </c>
      <c r="L16" s="617">
        <f t="shared" ca="1" si="9"/>
        <v>18797081.833333332</v>
      </c>
      <c r="M16" s="617">
        <f t="shared" ca="1" si="9"/>
        <v>18797081.833333332</v>
      </c>
      <c r="N16" s="618">
        <f t="shared" ca="1" si="2"/>
        <v>225564982.00000003</v>
      </c>
      <c r="O16" s="463"/>
      <c r="P16" s="390"/>
    </row>
    <row r="17" spans="1:16" ht="24" x14ac:dyDescent="0.2">
      <c r="A17" s="462" t="s">
        <v>417</v>
      </c>
      <c r="B17" s="617">
        <v>0</v>
      </c>
      <c r="C17" s="617">
        <v>0</v>
      </c>
      <c r="D17" s="617">
        <v>0</v>
      </c>
      <c r="E17" s="617">
        <v>0</v>
      </c>
      <c r="F17" s="617">
        <v>0</v>
      </c>
      <c r="G17" s="617">
        <v>0</v>
      </c>
      <c r="H17" s="617">
        <v>0</v>
      </c>
      <c r="I17" s="617">
        <v>0</v>
      </c>
      <c r="J17" s="617">
        <v>0</v>
      </c>
      <c r="K17" s="617">
        <v>0</v>
      </c>
      <c r="L17" s="617">
        <v>0</v>
      </c>
      <c r="M17" s="617">
        <v>0</v>
      </c>
      <c r="N17" s="617">
        <v>0</v>
      </c>
      <c r="O17" s="463"/>
      <c r="P17" s="390"/>
    </row>
    <row r="18" spans="1:16" ht="24" x14ac:dyDescent="0.2">
      <c r="A18" s="462" t="s">
        <v>418</v>
      </c>
      <c r="B18" s="617">
        <v>0</v>
      </c>
      <c r="C18" s="617">
        <v>0</v>
      </c>
      <c r="D18" s="617">
        <v>0</v>
      </c>
      <c r="E18" s="617">
        <v>0</v>
      </c>
      <c r="F18" s="617">
        <v>0</v>
      </c>
      <c r="G18" s="617">
        <v>0</v>
      </c>
      <c r="H18" s="617">
        <v>0</v>
      </c>
      <c r="I18" s="617">
        <v>0</v>
      </c>
      <c r="J18" s="617">
        <v>0</v>
      </c>
      <c r="K18" s="617">
        <v>0</v>
      </c>
      <c r="L18" s="617">
        <v>0</v>
      </c>
      <c r="M18" s="617">
        <v>0</v>
      </c>
      <c r="N18" s="617">
        <v>0</v>
      </c>
      <c r="O18" s="463"/>
      <c r="P18" s="390"/>
    </row>
    <row r="19" spans="1:16" x14ac:dyDescent="0.2">
      <c r="A19" s="462" t="s">
        <v>419</v>
      </c>
      <c r="B19" s="617">
        <v>0</v>
      </c>
      <c r="C19" s="617">
        <v>0</v>
      </c>
      <c r="D19" s="617">
        <v>0</v>
      </c>
      <c r="E19" s="617">
        <v>0</v>
      </c>
      <c r="F19" s="617">
        <v>0</v>
      </c>
      <c r="G19" s="617">
        <v>0</v>
      </c>
      <c r="H19" s="617">
        <v>0</v>
      </c>
      <c r="I19" s="617">
        <v>0</v>
      </c>
      <c r="J19" s="617">
        <v>0</v>
      </c>
      <c r="K19" s="617">
        <v>0</v>
      </c>
      <c r="L19" s="617">
        <v>0</v>
      </c>
      <c r="M19" s="617">
        <v>0</v>
      </c>
      <c r="N19" s="617">
        <v>0</v>
      </c>
      <c r="O19" s="463"/>
      <c r="P19" s="390"/>
    </row>
    <row r="20" spans="1:16" x14ac:dyDescent="0.2">
      <c r="A20" s="464" t="s">
        <v>420</v>
      </c>
      <c r="B20" s="619">
        <f ca="1">SUM(B9:B19)</f>
        <v>88011422.916666657</v>
      </c>
      <c r="C20" s="619">
        <f ca="1">SUM(C9:C19)</f>
        <v>88011422.916666657</v>
      </c>
      <c r="D20" s="619">
        <f t="shared" ref="D20:M20" ca="1" si="10">SUM(D9:D19)</f>
        <v>88011422.916666657</v>
      </c>
      <c r="E20" s="619">
        <f t="shared" ca="1" si="10"/>
        <v>88011422.916666657</v>
      </c>
      <c r="F20" s="619">
        <f t="shared" ca="1" si="10"/>
        <v>88011422.916666657</v>
      </c>
      <c r="G20" s="619">
        <f t="shared" ca="1" si="10"/>
        <v>88011422.916666657</v>
      </c>
      <c r="H20" s="619">
        <f t="shared" ca="1" si="10"/>
        <v>88011422.916666657</v>
      </c>
      <c r="I20" s="619">
        <f t="shared" ca="1" si="10"/>
        <v>88011422.916666657</v>
      </c>
      <c r="J20" s="619">
        <f t="shared" ca="1" si="10"/>
        <v>88011422.916666657</v>
      </c>
      <c r="K20" s="619">
        <f t="shared" ca="1" si="10"/>
        <v>88011422.916666657</v>
      </c>
      <c r="L20" s="619">
        <f t="shared" ca="1" si="10"/>
        <v>88011422.916666657</v>
      </c>
      <c r="M20" s="619">
        <f t="shared" ca="1" si="10"/>
        <v>88011422.916666657</v>
      </c>
      <c r="N20" s="618">
        <f ca="1">SUM(N9:N19)</f>
        <v>1056137074.9999999</v>
      </c>
      <c r="O20" s="463"/>
      <c r="P20" s="390"/>
    </row>
    <row r="21" spans="1:16" x14ac:dyDescent="0.2">
      <c r="A21" s="459" t="s">
        <v>421</v>
      </c>
      <c r="B21" s="619"/>
      <c r="C21" s="619"/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8"/>
      <c r="O21" s="465"/>
      <c r="P21" s="390"/>
    </row>
    <row r="22" spans="1:16" x14ac:dyDescent="0.2">
      <c r="A22" s="462" t="s">
        <v>46</v>
      </c>
      <c r="B22" s="617">
        <f>'1.melléklet.Önkormányzat'!D52/12</f>
        <v>35607875.5</v>
      </c>
      <c r="C22" s="617">
        <f t="shared" ref="C22:C29" si="11">+B22</f>
        <v>35607875.5</v>
      </c>
      <c r="D22" s="617">
        <f t="shared" ref="D22:M22" si="12">+C22</f>
        <v>35607875.5</v>
      </c>
      <c r="E22" s="617">
        <f t="shared" si="12"/>
        <v>35607875.5</v>
      </c>
      <c r="F22" s="617">
        <f t="shared" si="12"/>
        <v>35607875.5</v>
      </c>
      <c r="G22" s="617">
        <f t="shared" si="12"/>
        <v>35607875.5</v>
      </c>
      <c r="H22" s="617">
        <f t="shared" si="12"/>
        <v>35607875.5</v>
      </c>
      <c r="I22" s="617">
        <f t="shared" si="12"/>
        <v>35607875.5</v>
      </c>
      <c r="J22" s="617">
        <f t="shared" si="12"/>
        <v>35607875.5</v>
      </c>
      <c r="K22" s="617">
        <f t="shared" si="12"/>
        <v>35607875.5</v>
      </c>
      <c r="L22" s="617">
        <f t="shared" si="12"/>
        <v>35607875.5</v>
      </c>
      <c r="M22" s="617">
        <f t="shared" si="12"/>
        <v>35607875.5</v>
      </c>
      <c r="N22" s="618">
        <f t="shared" ref="N22:N29" si="13">SUM(B22:M22)</f>
        <v>427294506</v>
      </c>
      <c r="P22" s="390"/>
    </row>
    <row r="23" spans="1:16" ht="24" x14ac:dyDescent="0.2">
      <c r="A23" s="462" t="s">
        <v>384</v>
      </c>
      <c r="B23" s="617">
        <f>'1.melléklet.Önkormányzat'!D53/12</f>
        <v>5530100.583333333</v>
      </c>
      <c r="C23" s="617">
        <f t="shared" si="11"/>
        <v>5530100.583333333</v>
      </c>
      <c r="D23" s="617">
        <f t="shared" ref="D23:M23" si="14">+C23</f>
        <v>5530100.583333333</v>
      </c>
      <c r="E23" s="617">
        <f t="shared" si="14"/>
        <v>5530100.583333333</v>
      </c>
      <c r="F23" s="617">
        <f t="shared" si="14"/>
        <v>5530100.583333333</v>
      </c>
      <c r="G23" s="617">
        <f t="shared" si="14"/>
        <v>5530100.583333333</v>
      </c>
      <c r="H23" s="617">
        <f t="shared" si="14"/>
        <v>5530100.583333333</v>
      </c>
      <c r="I23" s="617">
        <f t="shared" si="14"/>
        <v>5530100.583333333</v>
      </c>
      <c r="J23" s="617">
        <f t="shared" si="14"/>
        <v>5530100.583333333</v>
      </c>
      <c r="K23" s="617">
        <f t="shared" si="14"/>
        <v>5530100.583333333</v>
      </c>
      <c r="L23" s="617">
        <f t="shared" si="14"/>
        <v>5530100.583333333</v>
      </c>
      <c r="M23" s="617">
        <f t="shared" si="14"/>
        <v>5530100.583333333</v>
      </c>
      <c r="N23" s="618">
        <f t="shared" si="13"/>
        <v>66361207.000000007</v>
      </c>
      <c r="O23" s="466"/>
      <c r="P23" s="390"/>
    </row>
    <row r="24" spans="1:16" x14ac:dyDescent="0.2">
      <c r="A24" s="462" t="s">
        <v>47</v>
      </c>
      <c r="B24" s="617">
        <f>'1.melléklet.Önkormányzat'!D54/12</f>
        <v>21675629.5</v>
      </c>
      <c r="C24" s="617">
        <f t="shared" si="11"/>
        <v>21675629.5</v>
      </c>
      <c r="D24" s="617">
        <f t="shared" ref="D24:M24" si="15">+C24</f>
        <v>21675629.5</v>
      </c>
      <c r="E24" s="617">
        <f t="shared" si="15"/>
        <v>21675629.5</v>
      </c>
      <c r="F24" s="617">
        <f t="shared" si="15"/>
        <v>21675629.5</v>
      </c>
      <c r="G24" s="617">
        <f t="shared" si="15"/>
        <v>21675629.5</v>
      </c>
      <c r="H24" s="617">
        <f t="shared" si="15"/>
        <v>21675629.5</v>
      </c>
      <c r="I24" s="617">
        <f t="shared" si="15"/>
        <v>21675629.5</v>
      </c>
      <c r="J24" s="617">
        <f t="shared" si="15"/>
        <v>21675629.5</v>
      </c>
      <c r="K24" s="617">
        <f t="shared" si="15"/>
        <v>21675629.5</v>
      </c>
      <c r="L24" s="617">
        <f t="shared" si="15"/>
        <v>21675629.5</v>
      </c>
      <c r="M24" s="617">
        <f t="shared" si="15"/>
        <v>21675629.5</v>
      </c>
      <c r="N24" s="618">
        <f t="shared" si="13"/>
        <v>260107554</v>
      </c>
      <c r="O24" s="466"/>
      <c r="P24" s="390"/>
    </row>
    <row r="25" spans="1:16" x14ac:dyDescent="0.2">
      <c r="A25" s="462" t="s">
        <v>48</v>
      </c>
      <c r="B25" s="617">
        <f>'1.melléklet.Önkormányzat'!D55/12</f>
        <v>2481166.6666666665</v>
      </c>
      <c r="C25" s="617">
        <f t="shared" si="11"/>
        <v>2481166.6666666665</v>
      </c>
      <c r="D25" s="617">
        <f t="shared" ref="D25:M25" si="16">+C25</f>
        <v>2481166.6666666665</v>
      </c>
      <c r="E25" s="617">
        <f t="shared" si="16"/>
        <v>2481166.6666666665</v>
      </c>
      <c r="F25" s="617">
        <f t="shared" si="16"/>
        <v>2481166.6666666665</v>
      </c>
      <c r="G25" s="617">
        <f t="shared" si="16"/>
        <v>2481166.6666666665</v>
      </c>
      <c r="H25" s="617">
        <f t="shared" si="16"/>
        <v>2481166.6666666665</v>
      </c>
      <c r="I25" s="617">
        <f t="shared" si="16"/>
        <v>2481166.6666666665</v>
      </c>
      <c r="J25" s="617">
        <f t="shared" si="16"/>
        <v>2481166.6666666665</v>
      </c>
      <c r="K25" s="617">
        <f t="shared" si="16"/>
        <v>2481166.6666666665</v>
      </c>
      <c r="L25" s="617">
        <f t="shared" si="16"/>
        <v>2481166.6666666665</v>
      </c>
      <c r="M25" s="617">
        <f t="shared" si="16"/>
        <v>2481166.6666666665</v>
      </c>
      <c r="N25" s="618">
        <f t="shared" si="13"/>
        <v>29774000.000000004</v>
      </c>
      <c r="O25" s="466"/>
      <c r="P25" s="390"/>
    </row>
    <row r="26" spans="1:16" x14ac:dyDescent="0.2">
      <c r="A26" s="462" t="s">
        <v>49</v>
      </c>
      <c r="B26" s="617">
        <f>'1.melléklet.Önkormányzat'!D56/12</f>
        <v>2713083.3333333335</v>
      </c>
      <c r="C26" s="617">
        <f t="shared" si="11"/>
        <v>2713083.3333333335</v>
      </c>
      <c r="D26" s="617">
        <f t="shared" ref="D26:M26" si="17">+C26</f>
        <v>2713083.3333333335</v>
      </c>
      <c r="E26" s="617">
        <f t="shared" si="17"/>
        <v>2713083.3333333335</v>
      </c>
      <c r="F26" s="617">
        <f t="shared" si="17"/>
        <v>2713083.3333333335</v>
      </c>
      <c r="G26" s="617">
        <f t="shared" si="17"/>
        <v>2713083.3333333335</v>
      </c>
      <c r="H26" s="617">
        <f t="shared" si="17"/>
        <v>2713083.3333333335</v>
      </c>
      <c r="I26" s="617">
        <f t="shared" si="17"/>
        <v>2713083.3333333335</v>
      </c>
      <c r="J26" s="617">
        <f t="shared" si="17"/>
        <v>2713083.3333333335</v>
      </c>
      <c r="K26" s="617">
        <f t="shared" si="17"/>
        <v>2713083.3333333335</v>
      </c>
      <c r="L26" s="617">
        <f t="shared" si="17"/>
        <v>2713083.3333333335</v>
      </c>
      <c r="M26" s="617">
        <f t="shared" si="17"/>
        <v>2713083.3333333335</v>
      </c>
      <c r="N26" s="618">
        <f t="shared" si="13"/>
        <v>32556999.999999996</v>
      </c>
      <c r="O26" s="466"/>
      <c r="P26" s="390"/>
    </row>
    <row r="27" spans="1:16" x14ac:dyDescent="0.2">
      <c r="A27" s="462" t="s">
        <v>53</v>
      </c>
      <c r="B27" s="617">
        <f>'1.melléklet.Önkormányzat'!D61/12</f>
        <v>10057583.166666666</v>
      </c>
      <c r="C27" s="617">
        <f t="shared" si="11"/>
        <v>10057583.166666666</v>
      </c>
      <c r="D27" s="617">
        <f t="shared" ref="D27:M27" si="18">+C27</f>
        <v>10057583.166666666</v>
      </c>
      <c r="E27" s="617">
        <f t="shared" si="18"/>
        <v>10057583.166666666</v>
      </c>
      <c r="F27" s="617">
        <f t="shared" si="18"/>
        <v>10057583.166666666</v>
      </c>
      <c r="G27" s="617">
        <f t="shared" si="18"/>
        <v>10057583.166666666</v>
      </c>
      <c r="H27" s="617">
        <f t="shared" si="18"/>
        <v>10057583.166666666</v>
      </c>
      <c r="I27" s="617">
        <f t="shared" si="18"/>
        <v>10057583.166666666</v>
      </c>
      <c r="J27" s="617">
        <f t="shared" si="18"/>
        <v>10057583.166666666</v>
      </c>
      <c r="K27" s="617">
        <f t="shared" si="18"/>
        <v>10057583.166666666</v>
      </c>
      <c r="L27" s="617">
        <f t="shared" si="18"/>
        <v>10057583.166666666</v>
      </c>
      <c r="M27" s="617">
        <f t="shared" si="18"/>
        <v>10057583.166666666</v>
      </c>
      <c r="N27" s="618">
        <f t="shared" si="13"/>
        <v>120690998.00000001</v>
      </c>
      <c r="O27" s="466"/>
      <c r="P27" s="390"/>
    </row>
    <row r="28" spans="1:16" x14ac:dyDescent="0.2">
      <c r="A28" s="462" t="s">
        <v>55</v>
      </c>
      <c r="B28" s="617">
        <f>'1.melléklet.Önkormányzat'!D63/12</f>
        <v>708416.66666666663</v>
      </c>
      <c r="C28" s="617">
        <f t="shared" si="11"/>
        <v>708416.66666666663</v>
      </c>
      <c r="D28" s="617">
        <f t="shared" ref="D28:M28" si="19">+C28</f>
        <v>708416.66666666663</v>
      </c>
      <c r="E28" s="617">
        <f t="shared" si="19"/>
        <v>708416.66666666663</v>
      </c>
      <c r="F28" s="617">
        <f t="shared" si="19"/>
        <v>708416.66666666663</v>
      </c>
      <c r="G28" s="617">
        <f t="shared" si="19"/>
        <v>708416.66666666663</v>
      </c>
      <c r="H28" s="617">
        <f t="shared" si="19"/>
        <v>708416.66666666663</v>
      </c>
      <c r="I28" s="617">
        <f t="shared" si="19"/>
        <v>708416.66666666663</v>
      </c>
      <c r="J28" s="617">
        <f t="shared" si="19"/>
        <v>708416.66666666663</v>
      </c>
      <c r="K28" s="617">
        <f t="shared" si="19"/>
        <v>708416.66666666663</v>
      </c>
      <c r="L28" s="617">
        <f t="shared" si="19"/>
        <v>708416.66666666663</v>
      </c>
      <c r="M28" s="617">
        <f t="shared" si="19"/>
        <v>708416.66666666663</v>
      </c>
      <c r="N28" s="618">
        <f t="shared" si="13"/>
        <v>8501000.0000000019</v>
      </c>
      <c r="O28" s="466"/>
      <c r="P28" s="390"/>
    </row>
    <row r="29" spans="1:16" ht="24" x14ac:dyDescent="0.2">
      <c r="A29" s="462" t="s">
        <v>370</v>
      </c>
      <c r="B29" s="617">
        <f>'1.melléklet.Önkormányzat'!D65/12</f>
        <v>416666.66666666669</v>
      </c>
      <c r="C29" s="617">
        <f t="shared" si="11"/>
        <v>416666.66666666669</v>
      </c>
      <c r="D29" s="617">
        <f t="shared" ref="D29:M29" si="20">+C29</f>
        <v>416666.66666666669</v>
      </c>
      <c r="E29" s="617">
        <f t="shared" si="20"/>
        <v>416666.66666666669</v>
      </c>
      <c r="F29" s="617">
        <f t="shared" si="20"/>
        <v>416666.66666666669</v>
      </c>
      <c r="G29" s="617">
        <f t="shared" si="20"/>
        <v>416666.66666666669</v>
      </c>
      <c r="H29" s="617">
        <f t="shared" si="20"/>
        <v>416666.66666666669</v>
      </c>
      <c r="I29" s="617">
        <f t="shared" si="20"/>
        <v>416666.66666666669</v>
      </c>
      <c r="J29" s="617">
        <f t="shared" si="20"/>
        <v>416666.66666666669</v>
      </c>
      <c r="K29" s="617">
        <f t="shared" si="20"/>
        <v>416666.66666666669</v>
      </c>
      <c r="L29" s="617">
        <f t="shared" si="20"/>
        <v>416666.66666666669</v>
      </c>
      <c r="M29" s="617">
        <f t="shared" si="20"/>
        <v>416666.66666666669</v>
      </c>
      <c r="N29" s="618">
        <f t="shared" si="13"/>
        <v>5000000</v>
      </c>
      <c r="O29" s="466"/>
      <c r="P29" s="390"/>
    </row>
    <row r="30" spans="1:16" ht="24.75" customHeight="1" x14ac:dyDescent="0.2">
      <c r="A30" s="462" t="s">
        <v>422</v>
      </c>
      <c r="B30" s="617">
        <v>0</v>
      </c>
      <c r="C30" s="617">
        <v>0</v>
      </c>
      <c r="D30" s="617">
        <v>0</v>
      </c>
      <c r="E30" s="617">
        <v>0</v>
      </c>
      <c r="F30" s="617">
        <v>0</v>
      </c>
      <c r="G30" s="617">
        <v>0</v>
      </c>
      <c r="H30" s="617">
        <v>0</v>
      </c>
      <c r="I30" s="617">
        <v>0</v>
      </c>
      <c r="J30" s="617">
        <v>0</v>
      </c>
      <c r="K30" s="617">
        <v>0</v>
      </c>
      <c r="L30" s="617">
        <v>0</v>
      </c>
      <c r="M30" s="617">
        <v>0</v>
      </c>
      <c r="N30" s="618">
        <f t="shared" ref="N30:N35" si="21">SUM(B30:M30)</f>
        <v>0</v>
      </c>
      <c r="O30" s="466"/>
      <c r="P30" s="390"/>
    </row>
    <row r="31" spans="1:16" x14ac:dyDescent="0.2">
      <c r="A31" s="462" t="s">
        <v>423</v>
      </c>
      <c r="B31" s="617">
        <v>0</v>
      </c>
      <c r="C31" s="617">
        <v>0</v>
      </c>
      <c r="D31" s="617">
        <v>0</v>
      </c>
      <c r="E31" s="617">
        <v>0</v>
      </c>
      <c r="F31" s="617">
        <v>0</v>
      </c>
      <c r="G31" s="617">
        <v>0</v>
      </c>
      <c r="H31" s="617">
        <v>0</v>
      </c>
      <c r="I31" s="617">
        <v>0</v>
      </c>
      <c r="J31" s="617">
        <v>0</v>
      </c>
      <c r="K31" s="617">
        <v>0</v>
      </c>
      <c r="L31" s="617">
        <v>0</v>
      </c>
      <c r="M31" s="617">
        <v>0</v>
      </c>
      <c r="N31" s="618">
        <f t="shared" si="21"/>
        <v>0</v>
      </c>
      <c r="O31" s="466"/>
      <c r="P31" s="390"/>
    </row>
    <row r="32" spans="1:16" ht="24" x14ac:dyDescent="0.2">
      <c r="A32" s="462" t="s">
        <v>59</v>
      </c>
      <c r="B32" s="617">
        <f>'1.melléklet.Önkormányzat'!D70</f>
        <v>22221723</v>
      </c>
      <c r="C32" s="617">
        <v>0</v>
      </c>
      <c r="D32" s="617">
        <v>0</v>
      </c>
      <c r="E32" s="617">
        <v>0</v>
      </c>
      <c r="F32" s="617">
        <v>0</v>
      </c>
      <c r="G32" s="617">
        <v>0</v>
      </c>
      <c r="H32" s="617">
        <v>0</v>
      </c>
      <c r="I32" s="617">
        <v>0</v>
      </c>
      <c r="J32" s="617">
        <v>0</v>
      </c>
      <c r="K32" s="617">
        <v>0</v>
      </c>
      <c r="L32" s="617">
        <v>0</v>
      </c>
      <c r="M32" s="617">
        <v>0</v>
      </c>
      <c r="N32" s="618">
        <f t="shared" si="21"/>
        <v>22221723</v>
      </c>
      <c r="O32" s="466"/>
      <c r="P32" s="390"/>
    </row>
    <row r="33" spans="1:16" x14ac:dyDescent="0.2">
      <c r="A33" s="467" t="s">
        <v>50</v>
      </c>
      <c r="B33" s="617">
        <f>'1.melléklet.Önkormányzat'!D57/12</f>
        <v>6969090.583333333</v>
      </c>
      <c r="C33" s="617">
        <f>+B33</f>
        <v>6969090.583333333</v>
      </c>
      <c r="D33" s="617">
        <f t="shared" ref="D33:M33" si="22">+C33</f>
        <v>6969090.583333333</v>
      </c>
      <c r="E33" s="617">
        <f t="shared" si="22"/>
        <v>6969090.583333333</v>
      </c>
      <c r="F33" s="617">
        <f t="shared" si="22"/>
        <v>6969090.583333333</v>
      </c>
      <c r="G33" s="617">
        <f t="shared" si="22"/>
        <v>6969090.583333333</v>
      </c>
      <c r="H33" s="617">
        <f t="shared" si="22"/>
        <v>6969090.583333333</v>
      </c>
      <c r="I33" s="617">
        <f t="shared" si="22"/>
        <v>6969090.583333333</v>
      </c>
      <c r="J33" s="617">
        <f t="shared" si="22"/>
        <v>6969090.583333333</v>
      </c>
      <c r="K33" s="617">
        <f t="shared" si="22"/>
        <v>6969090.583333333</v>
      </c>
      <c r="L33" s="617">
        <f t="shared" si="22"/>
        <v>6969090.583333333</v>
      </c>
      <c r="M33" s="617">
        <f t="shared" si="22"/>
        <v>6969090.583333333</v>
      </c>
      <c r="N33" s="618">
        <f t="shared" si="21"/>
        <v>83629087</v>
      </c>
      <c r="O33" s="466"/>
      <c r="P33" s="390"/>
    </row>
    <row r="34" spans="1:16" x14ac:dyDescent="0.2">
      <c r="A34" s="468" t="s">
        <v>424</v>
      </c>
      <c r="B34" s="619">
        <f t="shared" ref="B34:M34" si="23">SUM(B22:B33)</f>
        <v>108381335.66666667</v>
      </c>
      <c r="C34" s="619">
        <f t="shared" si="23"/>
        <v>86159612.666666672</v>
      </c>
      <c r="D34" s="619">
        <f t="shared" si="23"/>
        <v>86159612.666666672</v>
      </c>
      <c r="E34" s="619">
        <f t="shared" si="23"/>
        <v>86159612.666666672</v>
      </c>
      <c r="F34" s="619">
        <f t="shared" si="23"/>
        <v>86159612.666666672</v>
      </c>
      <c r="G34" s="619">
        <f t="shared" si="23"/>
        <v>86159612.666666672</v>
      </c>
      <c r="H34" s="619">
        <f t="shared" si="23"/>
        <v>86159612.666666672</v>
      </c>
      <c r="I34" s="619">
        <f t="shared" si="23"/>
        <v>86159612.666666672</v>
      </c>
      <c r="J34" s="619">
        <f t="shared" si="23"/>
        <v>86159612.666666672</v>
      </c>
      <c r="K34" s="619">
        <f t="shared" si="23"/>
        <v>86159612.666666672</v>
      </c>
      <c r="L34" s="619">
        <f t="shared" si="23"/>
        <v>86159612.666666672</v>
      </c>
      <c r="M34" s="619">
        <f t="shared" si="23"/>
        <v>86159612.666666672</v>
      </c>
      <c r="N34" s="618">
        <f t="shared" si="21"/>
        <v>1056137074.9999998</v>
      </c>
      <c r="O34" s="380"/>
      <c r="P34" s="390"/>
    </row>
    <row r="35" spans="1:16" ht="12.75" thickBot="1" x14ac:dyDescent="0.25">
      <c r="A35" s="469" t="s">
        <v>425</v>
      </c>
      <c r="B35" s="620">
        <f ca="1">'6.melléklet.Kiadások.Önk.'!AG66/12</f>
        <v>35707995</v>
      </c>
      <c r="C35" s="620">
        <f ca="1">+B35</f>
        <v>35707995</v>
      </c>
      <c r="D35" s="620">
        <f t="shared" ref="D35:M35" ca="1" si="24">+C35</f>
        <v>35707995</v>
      </c>
      <c r="E35" s="620">
        <f t="shared" ca="1" si="24"/>
        <v>35707995</v>
      </c>
      <c r="F35" s="620">
        <f t="shared" ca="1" si="24"/>
        <v>35707995</v>
      </c>
      <c r="G35" s="620">
        <f t="shared" ca="1" si="24"/>
        <v>35707995</v>
      </c>
      <c r="H35" s="620">
        <f t="shared" ca="1" si="24"/>
        <v>35707995</v>
      </c>
      <c r="I35" s="620">
        <f t="shared" ca="1" si="24"/>
        <v>35707995</v>
      </c>
      <c r="J35" s="620">
        <f t="shared" ca="1" si="24"/>
        <v>35707995</v>
      </c>
      <c r="K35" s="620">
        <f t="shared" ca="1" si="24"/>
        <v>35707995</v>
      </c>
      <c r="L35" s="620">
        <f t="shared" ca="1" si="24"/>
        <v>35707995</v>
      </c>
      <c r="M35" s="620">
        <f t="shared" ca="1" si="24"/>
        <v>35707995</v>
      </c>
      <c r="N35" s="621">
        <f t="shared" ca="1" si="21"/>
        <v>428495940</v>
      </c>
      <c r="O35" s="383"/>
      <c r="P35" s="390"/>
    </row>
    <row r="36" spans="1:16" x14ac:dyDescent="0.2">
      <c r="A36" s="470"/>
      <c r="B36" s="622"/>
      <c r="C36" s="623"/>
      <c r="D36" s="623"/>
      <c r="E36" s="623"/>
      <c r="F36" s="623"/>
      <c r="G36" s="623"/>
      <c r="H36" s="623"/>
      <c r="I36" s="623"/>
      <c r="J36" s="623"/>
      <c r="K36" s="623"/>
      <c r="L36" s="623"/>
      <c r="M36" s="623"/>
      <c r="N36" s="622"/>
    </row>
    <row r="37" spans="1:16" x14ac:dyDescent="0.2">
      <c r="A37" s="472"/>
      <c r="B37" s="471"/>
      <c r="C37" s="471"/>
      <c r="D37" s="471"/>
      <c r="E37" s="471"/>
      <c r="F37" s="471"/>
      <c r="G37" s="471"/>
      <c r="H37" s="471"/>
      <c r="I37" s="471"/>
      <c r="J37" s="471"/>
      <c r="K37" s="471"/>
      <c r="L37" s="471"/>
      <c r="M37" s="471"/>
      <c r="N37" s="471"/>
    </row>
    <row r="38" spans="1:16" x14ac:dyDescent="0.2">
      <c r="A38" s="394"/>
      <c r="B38" s="473"/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383"/>
    </row>
    <row r="39" spans="1:16" x14ac:dyDescent="0.2">
      <c r="A39" s="474"/>
      <c r="B39" s="473"/>
      <c r="C39" s="470"/>
      <c r="D39" s="470"/>
      <c r="E39" s="470"/>
      <c r="F39" s="470"/>
      <c r="G39" s="470"/>
      <c r="H39" s="470"/>
      <c r="I39" s="470"/>
      <c r="J39" s="470"/>
      <c r="K39" s="470"/>
      <c r="L39" s="470"/>
      <c r="M39" s="470"/>
      <c r="N39" s="380"/>
    </row>
    <row r="40" spans="1:16" x14ac:dyDescent="0.2">
      <c r="A40" s="474"/>
      <c r="B40" s="473"/>
      <c r="C40" s="470"/>
      <c r="D40" s="470"/>
      <c r="E40" s="470"/>
      <c r="F40" s="470"/>
      <c r="G40" s="470"/>
      <c r="H40" s="470"/>
      <c r="I40" s="470"/>
      <c r="J40" s="470"/>
      <c r="K40" s="470"/>
      <c r="L40" s="470"/>
      <c r="M40" s="470"/>
      <c r="N40" s="380"/>
    </row>
    <row r="41" spans="1:16" x14ac:dyDescent="0.2">
      <c r="A41" s="474"/>
      <c r="B41" s="473"/>
      <c r="C41" s="470"/>
      <c r="D41" s="470"/>
      <c r="E41" s="470"/>
      <c r="F41" s="470"/>
      <c r="G41" s="470"/>
      <c r="H41" s="470"/>
      <c r="I41" s="470"/>
      <c r="J41" s="470"/>
      <c r="K41" s="470"/>
      <c r="L41" s="470"/>
      <c r="M41" s="470"/>
      <c r="N41" s="380"/>
    </row>
    <row r="42" spans="1:16" x14ac:dyDescent="0.2">
      <c r="A42" s="474"/>
      <c r="B42" s="473"/>
      <c r="C42" s="470"/>
      <c r="D42" s="470"/>
      <c r="E42" s="470"/>
      <c r="F42" s="475"/>
      <c r="G42" s="470"/>
      <c r="H42" s="470"/>
      <c r="I42" s="470"/>
      <c r="J42" s="470"/>
      <c r="K42" s="470"/>
      <c r="L42" s="470"/>
      <c r="M42" s="470"/>
      <c r="N42" s="380"/>
    </row>
    <row r="43" spans="1:16" x14ac:dyDescent="0.2">
      <c r="A43" s="474"/>
      <c r="B43" s="470"/>
      <c r="C43" s="470"/>
      <c r="D43" s="470"/>
      <c r="E43" s="470"/>
      <c r="F43" s="470"/>
      <c r="G43" s="470"/>
      <c r="H43" s="470"/>
      <c r="I43" s="470"/>
      <c r="J43" s="470"/>
      <c r="K43" s="470"/>
      <c r="L43" s="470"/>
      <c r="M43" s="470"/>
      <c r="N43" s="380"/>
    </row>
    <row r="44" spans="1:16" x14ac:dyDescent="0.2">
      <c r="A44" s="474"/>
      <c r="B44" s="470"/>
      <c r="C44" s="470"/>
      <c r="D44" s="470"/>
      <c r="E44" s="470"/>
      <c r="F44" s="470"/>
      <c r="G44" s="470"/>
      <c r="H44" s="470"/>
      <c r="I44" s="470"/>
      <c r="J44" s="470"/>
      <c r="K44" s="470"/>
      <c r="L44" s="470"/>
      <c r="M44" s="470"/>
      <c r="N44" s="380"/>
    </row>
    <row r="45" spans="1:16" x14ac:dyDescent="0.2">
      <c r="A45" s="474"/>
      <c r="B45" s="380"/>
      <c r="C45" s="476"/>
      <c r="D45" s="476"/>
      <c r="E45" s="476"/>
      <c r="F45" s="476"/>
      <c r="G45" s="476"/>
      <c r="H45" s="476"/>
      <c r="I45" s="476"/>
      <c r="J45" s="476"/>
      <c r="K45" s="476"/>
      <c r="L45" s="476"/>
      <c r="M45" s="476"/>
      <c r="N45" s="380"/>
    </row>
    <row r="46" spans="1:16" x14ac:dyDescent="0.2">
      <c r="A46" s="477"/>
      <c r="B46" s="472"/>
      <c r="C46" s="472"/>
      <c r="D46" s="472"/>
      <c r="E46" s="472"/>
      <c r="F46" s="472"/>
      <c r="G46" s="472"/>
      <c r="H46" s="472"/>
      <c r="I46" s="472"/>
      <c r="J46" s="472"/>
      <c r="K46" s="472"/>
      <c r="L46" s="472"/>
      <c r="M46" s="472"/>
      <c r="N46" s="380"/>
    </row>
    <row r="47" spans="1:16" x14ac:dyDescent="0.2">
      <c r="A47" s="478"/>
      <c r="B47" s="383"/>
      <c r="C47" s="383"/>
      <c r="D47" s="383"/>
      <c r="E47" s="383"/>
      <c r="F47" s="383"/>
      <c r="G47" s="383"/>
      <c r="H47" s="383"/>
      <c r="I47" s="383"/>
      <c r="J47" s="383"/>
      <c r="K47" s="383"/>
      <c r="L47" s="383"/>
      <c r="M47" s="383"/>
      <c r="N47" s="383"/>
    </row>
    <row r="48" spans="1:16" x14ac:dyDescent="0.2">
      <c r="A48" s="479"/>
      <c r="B48" s="380"/>
      <c r="C48" s="480"/>
      <c r="D48" s="480"/>
      <c r="E48" s="480"/>
      <c r="F48" s="480"/>
      <c r="G48" s="480"/>
      <c r="H48" s="480"/>
      <c r="I48" s="480"/>
      <c r="J48" s="480"/>
      <c r="K48" s="480"/>
      <c r="L48" s="480"/>
      <c r="M48" s="480"/>
      <c r="N48" s="480"/>
    </row>
    <row r="49" spans="1:14" x14ac:dyDescent="0.2">
      <c r="A49" s="479"/>
      <c r="B49" s="380"/>
      <c r="C49" s="480"/>
      <c r="D49" s="480"/>
      <c r="E49" s="480"/>
      <c r="F49" s="480"/>
      <c r="G49" s="480"/>
      <c r="H49" s="480"/>
      <c r="I49" s="480"/>
      <c r="J49" s="480"/>
      <c r="K49" s="480"/>
      <c r="L49" s="480"/>
      <c r="M49" s="480"/>
      <c r="N49" s="480"/>
    </row>
    <row r="50" spans="1:14" x14ac:dyDescent="0.2">
      <c r="A50" s="479"/>
      <c r="B50" s="480"/>
      <c r="C50" s="480"/>
      <c r="D50" s="480"/>
      <c r="E50" s="480"/>
      <c r="F50" s="480"/>
      <c r="G50" s="480"/>
      <c r="H50" s="480"/>
      <c r="I50" s="480"/>
      <c r="J50" s="480"/>
      <c r="K50" s="480"/>
      <c r="L50" s="480"/>
      <c r="M50" s="480"/>
      <c r="N50" s="480"/>
    </row>
    <row r="51" spans="1:14" x14ac:dyDescent="0.2">
      <c r="A51" s="479"/>
      <c r="B51" s="480"/>
      <c r="C51" s="480"/>
      <c r="D51" s="480"/>
      <c r="E51" s="480"/>
      <c r="F51" s="480"/>
      <c r="G51" s="480"/>
      <c r="H51" s="480"/>
      <c r="I51" s="480"/>
      <c r="J51" s="480"/>
      <c r="K51" s="480"/>
      <c r="L51" s="480"/>
      <c r="M51" s="480"/>
      <c r="N51" s="480"/>
    </row>
  </sheetData>
  <mergeCells count="4">
    <mergeCell ref="A1:N1"/>
    <mergeCell ref="A3:N3"/>
    <mergeCell ref="A5:N5"/>
    <mergeCell ref="A6:N6"/>
  </mergeCells>
  <pageMargins left="0.25" right="0.25" top="0.14583333333333334" bottom="0.75" header="0.3" footer="0.3"/>
  <pageSetup paperSize="9" orientation="landscape" r:id="rId1"/>
  <headerFooter alignWithMargins="0"/>
  <ignoredErrors>
    <ignoredError sqref="C34:M34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B647C-4CC7-41AB-986C-53FD96CCEB79}">
  <sheetPr>
    <tabColor rgb="FFFFC000"/>
  </sheetPr>
  <dimension ref="A1:AW10"/>
  <sheetViews>
    <sheetView zoomScalePageLayoutView="85" workbookViewId="0">
      <selection sqref="A1:E1"/>
    </sheetView>
  </sheetViews>
  <sheetFormatPr defaultRowHeight="12.75" x14ac:dyDescent="0.2"/>
  <cols>
    <col min="1" max="1" width="6.28515625" style="259" customWidth="1"/>
    <col min="2" max="2" width="33.5703125" style="260" customWidth="1"/>
    <col min="3" max="3" width="14.42578125" style="261" customWidth="1"/>
    <col min="4" max="4" width="15" style="261" customWidth="1"/>
    <col min="5" max="5" width="12.140625" style="281" customWidth="1"/>
    <col min="6" max="6" width="27.5703125" style="259" customWidth="1"/>
    <col min="7" max="7" width="13.85546875" style="259" customWidth="1"/>
    <col min="8" max="8" width="15.140625" style="259" customWidth="1"/>
    <col min="9" max="16384" width="9.140625" style="259"/>
  </cols>
  <sheetData>
    <row r="1" spans="1:49" s="218" customFormat="1" ht="27.75" customHeight="1" x14ac:dyDescent="0.2">
      <c r="A1" s="812" t="s">
        <v>599</v>
      </c>
      <c r="B1" s="813"/>
      <c r="C1" s="813"/>
      <c r="D1" s="813"/>
      <c r="E1" s="813"/>
      <c r="F1" s="216"/>
      <c r="G1" s="216"/>
      <c r="H1" s="216"/>
      <c r="I1" s="216"/>
      <c r="J1" s="216"/>
      <c r="K1" s="216"/>
      <c r="L1" s="216"/>
      <c r="M1" s="216"/>
      <c r="N1" s="216"/>
      <c r="O1" s="346"/>
      <c r="P1" s="346"/>
      <c r="Q1" s="346"/>
      <c r="R1" s="346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  <c r="AO1" s="347"/>
      <c r="AP1" s="347"/>
      <c r="AQ1" s="347"/>
      <c r="AR1" s="347"/>
      <c r="AS1" s="347"/>
      <c r="AT1" s="347"/>
      <c r="AU1" s="347"/>
      <c r="AV1" s="347"/>
      <c r="AW1" s="347"/>
    </row>
    <row r="2" spans="1:49" s="218" customFormat="1" x14ac:dyDescent="0.2">
      <c r="A2" s="814" t="s">
        <v>556</v>
      </c>
      <c r="B2" s="815"/>
      <c r="C2" s="815"/>
      <c r="D2" s="815"/>
      <c r="E2" s="815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347"/>
      <c r="AN2" s="347"/>
      <c r="AO2" s="347"/>
      <c r="AP2" s="347"/>
      <c r="AQ2" s="347"/>
      <c r="AR2" s="347"/>
      <c r="AS2" s="347"/>
      <c r="AT2" s="347"/>
      <c r="AU2" s="347"/>
      <c r="AV2" s="347"/>
      <c r="AW2" s="347"/>
    </row>
    <row r="3" spans="1:49" s="218" customFormat="1" ht="28.5" customHeight="1" x14ac:dyDescent="0.2">
      <c r="F3" s="216"/>
      <c r="G3" s="216"/>
      <c r="H3" s="216"/>
      <c r="I3" s="216"/>
      <c r="J3" s="216"/>
      <c r="K3" s="216"/>
      <c r="L3" s="216"/>
      <c r="M3" s="216"/>
      <c r="N3" s="216"/>
      <c r="O3" s="346"/>
      <c r="P3" s="346"/>
      <c r="Q3" s="346"/>
      <c r="R3" s="346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7"/>
      <c r="AK3" s="347"/>
      <c r="AL3" s="347"/>
      <c r="AM3" s="347"/>
      <c r="AN3" s="347"/>
      <c r="AO3" s="347"/>
      <c r="AP3" s="347"/>
      <c r="AQ3" s="347"/>
      <c r="AR3" s="347"/>
      <c r="AS3" s="347"/>
      <c r="AT3" s="347"/>
      <c r="AU3" s="347"/>
      <c r="AV3" s="347"/>
      <c r="AW3" s="347"/>
    </row>
    <row r="4" spans="1:49" s="218" customFormat="1" ht="12" x14ac:dyDescent="0.2">
      <c r="A4" s="223"/>
      <c r="B4" s="224"/>
      <c r="C4" s="224"/>
      <c r="D4" s="224"/>
      <c r="E4" s="350"/>
      <c r="F4" s="350"/>
      <c r="G4" s="350"/>
      <c r="H4" s="350"/>
      <c r="I4" s="350"/>
      <c r="J4" s="351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47"/>
      <c r="AQ4" s="347"/>
      <c r="AR4" s="347"/>
      <c r="AS4" s="347"/>
      <c r="AT4" s="347"/>
      <c r="AU4" s="347"/>
      <c r="AV4" s="347"/>
      <c r="AW4" s="347"/>
    </row>
    <row r="5" spans="1:49" s="218" customFormat="1" ht="58.5" customHeight="1" x14ac:dyDescent="0.25">
      <c r="A5" s="821" t="s">
        <v>577</v>
      </c>
      <c r="B5" s="822"/>
      <c r="C5" s="822"/>
      <c r="D5" s="822"/>
      <c r="E5" s="822"/>
      <c r="F5" s="227"/>
      <c r="G5" s="227"/>
      <c r="H5" s="227"/>
      <c r="I5" s="227"/>
      <c r="J5" s="227"/>
      <c r="K5" s="227"/>
      <c r="L5" s="227"/>
      <c r="M5" s="227"/>
      <c r="N5" s="227"/>
      <c r="O5" s="353"/>
      <c r="P5" s="353"/>
      <c r="Q5" s="353"/>
      <c r="R5" s="353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  <c r="AQ5" s="347"/>
      <c r="AR5" s="347"/>
      <c r="AS5" s="347"/>
      <c r="AT5" s="347"/>
      <c r="AU5" s="347"/>
      <c r="AV5" s="347"/>
      <c r="AW5" s="347"/>
    </row>
    <row r="6" spans="1:49" s="218" customFormat="1" ht="22.5" customHeight="1" thickBot="1" x14ac:dyDescent="0.25">
      <c r="A6" s="823" t="s">
        <v>518</v>
      </c>
      <c r="B6" s="823"/>
      <c r="C6" s="823"/>
      <c r="D6" s="823"/>
      <c r="E6" s="823"/>
      <c r="F6" s="217"/>
      <c r="G6" s="217"/>
      <c r="H6" s="217"/>
      <c r="I6" s="217"/>
      <c r="J6" s="217"/>
      <c r="K6" s="217"/>
      <c r="L6" s="217"/>
      <c r="M6" s="217"/>
      <c r="N6" s="217"/>
      <c r="O6" s="346"/>
      <c r="P6" s="346"/>
      <c r="Q6" s="346"/>
      <c r="R6" s="346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  <c r="AN6" s="347"/>
      <c r="AO6" s="347"/>
      <c r="AP6" s="347"/>
      <c r="AQ6" s="347"/>
      <c r="AR6" s="347"/>
      <c r="AS6" s="347"/>
      <c r="AT6" s="347"/>
      <c r="AU6" s="347"/>
      <c r="AV6" s="347"/>
      <c r="AW6" s="347"/>
    </row>
    <row r="7" spans="1:49" ht="33" customHeight="1" x14ac:dyDescent="0.2">
      <c r="A7" s="482" t="s">
        <v>426</v>
      </c>
      <c r="B7" s="483" t="s">
        <v>77</v>
      </c>
      <c r="C7" s="484" t="s">
        <v>66</v>
      </c>
      <c r="D7" s="484" t="s">
        <v>67</v>
      </c>
      <c r="E7" s="485" t="s">
        <v>427</v>
      </c>
      <c r="G7" s="486"/>
      <c r="H7" s="486"/>
    </row>
    <row r="8" spans="1:49" x14ac:dyDescent="0.2">
      <c r="A8" s="624" t="s">
        <v>68</v>
      </c>
      <c r="B8" s="625" t="s">
        <v>76</v>
      </c>
      <c r="C8" s="626" t="s">
        <v>69</v>
      </c>
      <c r="D8" s="627" t="s">
        <v>70</v>
      </c>
      <c r="E8" s="628" t="s">
        <v>71</v>
      </c>
      <c r="G8" s="271"/>
      <c r="H8" s="281"/>
    </row>
    <row r="9" spans="1:49" ht="25.5" x14ac:dyDescent="0.2">
      <c r="A9" s="487">
        <v>1</v>
      </c>
      <c r="B9" s="236" t="s">
        <v>579</v>
      </c>
      <c r="C9" s="488" t="s">
        <v>428</v>
      </c>
      <c r="D9" s="239">
        <v>111098000</v>
      </c>
      <c r="E9" s="489">
        <v>0</v>
      </c>
    </row>
    <row r="10" spans="1:49" ht="13.5" thickBot="1" x14ac:dyDescent="0.25">
      <c r="A10" s="490"/>
      <c r="B10" s="491" t="s">
        <v>79</v>
      </c>
      <c r="C10" s="249"/>
      <c r="D10" s="249">
        <f>SUM(D9:D9)</f>
        <v>111098000</v>
      </c>
      <c r="E10" s="250">
        <f>SUM(E9:E9)</f>
        <v>0</v>
      </c>
    </row>
  </sheetData>
  <mergeCells count="4">
    <mergeCell ref="A1:E1"/>
    <mergeCell ref="A2:E2"/>
    <mergeCell ref="A5:E5"/>
    <mergeCell ref="A6:E6"/>
  </mergeCells>
  <printOptions horizontalCentered="1"/>
  <pageMargins left="0.78740157480314965" right="0.78740157480314965" top="0.2083333333333333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B2DD-F33A-4DE0-B6D4-7527711A9669}">
  <sheetPr>
    <tabColor rgb="FFFFC000"/>
  </sheetPr>
  <dimension ref="A1:AW17"/>
  <sheetViews>
    <sheetView workbookViewId="0">
      <selection activeCell="B2" sqref="B2:E2"/>
    </sheetView>
  </sheetViews>
  <sheetFormatPr defaultRowHeight="12.75" x14ac:dyDescent="0.2"/>
  <cols>
    <col min="1" max="1" width="7.7109375" style="492" customWidth="1"/>
    <col min="2" max="2" width="36.7109375" style="492" customWidth="1"/>
    <col min="3" max="4" width="13.28515625" style="492" customWidth="1"/>
    <col min="5" max="5" width="13.5703125" style="492" customWidth="1"/>
    <col min="6" max="16384" width="9.140625" style="492"/>
  </cols>
  <sheetData>
    <row r="1" spans="1:49" s="218" customFormat="1" ht="34.5" customHeight="1" x14ac:dyDescent="0.2">
      <c r="A1" s="812"/>
      <c r="B1" s="813"/>
      <c r="C1" s="813"/>
      <c r="D1" s="813"/>
      <c r="E1" s="813"/>
      <c r="F1" s="216"/>
      <c r="G1" s="216"/>
      <c r="H1" s="216"/>
      <c r="I1" s="216"/>
      <c r="J1" s="216"/>
      <c r="K1" s="216"/>
      <c r="L1" s="216"/>
      <c r="M1" s="216"/>
      <c r="N1" s="216"/>
      <c r="O1" s="346"/>
      <c r="P1" s="346"/>
      <c r="Q1" s="346"/>
      <c r="R1" s="346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  <c r="AO1" s="347"/>
      <c r="AP1" s="347"/>
      <c r="AQ1" s="347"/>
      <c r="AR1" s="347"/>
      <c r="AS1" s="347"/>
      <c r="AT1" s="347"/>
      <c r="AU1" s="347"/>
      <c r="AV1" s="347"/>
      <c r="AW1" s="347"/>
    </row>
    <row r="2" spans="1:49" s="218" customFormat="1" ht="34.5" customHeight="1" x14ac:dyDescent="0.2">
      <c r="A2" s="219"/>
      <c r="B2" s="827" t="s">
        <v>600</v>
      </c>
      <c r="C2" s="827"/>
      <c r="D2" s="827"/>
      <c r="E2" s="827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347"/>
      <c r="AN2" s="347"/>
      <c r="AO2" s="347"/>
      <c r="AP2" s="347"/>
      <c r="AQ2" s="347"/>
      <c r="AR2" s="347"/>
      <c r="AS2" s="347"/>
      <c r="AT2" s="347"/>
      <c r="AU2" s="347"/>
      <c r="AV2" s="347"/>
      <c r="AW2" s="347"/>
    </row>
    <row r="3" spans="1:49" s="218" customFormat="1" ht="34.5" customHeight="1" x14ac:dyDescent="0.2">
      <c r="A3" s="814" t="s">
        <v>557</v>
      </c>
      <c r="B3" s="815"/>
      <c r="C3" s="815"/>
      <c r="D3" s="815"/>
      <c r="E3" s="815"/>
      <c r="F3" s="216"/>
      <c r="G3" s="216"/>
      <c r="H3" s="216"/>
      <c r="I3" s="216"/>
      <c r="J3" s="216"/>
      <c r="K3" s="216"/>
      <c r="L3" s="216"/>
      <c r="M3" s="216"/>
      <c r="N3" s="216"/>
      <c r="O3" s="346"/>
      <c r="P3" s="346"/>
      <c r="Q3" s="346"/>
      <c r="R3" s="346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7"/>
      <c r="AK3" s="347"/>
      <c r="AL3" s="347"/>
      <c r="AM3" s="347"/>
      <c r="AN3" s="347"/>
      <c r="AO3" s="347"/>
      <c r="AP3" s="347"/>
      <c r="AQ3" s="347"/>
      <c r="AR3" s="347"/>
      <c r="AS3" s="347"/>
      <c r="AT3" s="347"/>
      <c r="AU3" s="347"/>
      <c r="AV3" s="347"/>
      <c r="AW3" s="347"/>
    </row>
    <row r="4" spans="1:49" s="218" customFormat="1" ht="34.5" customHeight="1" x14ac:dyDescent="0.2">
      <c r="A4" s="223"/>
      <c r="B4" s="224"/>
      <c r="C4" s="224"/>
      <c r="D4" s="224"/>
      <c r="E4" s="350"/>
      <c r="F4" s="350"/>
      <c r="G4" s="350"/>
      <c r="H4" s="350"/>
      <c r="I4" s="350"/>
      <c r="J4" s="351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47"/>
      <c r="AQ4" s="347"/>
      <c r="AR4" s="347"/>
      <c r="AS4" s="347"/>
      <c r="AT4" s="347"/>
      <c r="AU4" s="347"/>
      <c r="AV4" s="347"/>
      <c r="AW4" s="347"/>
    </row>
    <row r="5" spans="1:49" s="218" customFormat="1" ht="34.5" customHeight="1" x14ac:dyDescent="0.25">
      <c r="A5" s="821" t="s">
        <v>429</v>
      </c>
      <c r="B5" s="822"/>
      <c r="C5" s="822"/>
      <c r="D5" s="822"/>
      <c r="E5" s="822"/>
      <c r="F5" s="227"/>
      <c r="G5" s="227"/>
      <c r="H5" s="227"/>
      <c r="I5" s="227"/>
      <c r="J5" s="227"/>
      <c r="K5" s="227"/>
      <c r="L5" s="227"/>
      <c r="M5" s="227"/>
      <c r="N5" s="227"/>
      <c r="O5" s="353"/>
      <c r="P5" s="353"/>
      <c r="Q5" s="353"/>
      <c r="R5" s="353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  <c r="AQ5" s="347"/>
      <c r="AR5" s="347"/>
      <c r="AS5" s="347"/>
      <c r="AT5" s="347"/>
      <c r="AU5" s="347"/>
      <c r="AV5" s="347"/>
      <c r="AW5" s="347"/>
    </row>
    <row r="6" spans="1:49" s="218" customFormat="1" ht="34.5" customHeight="1" x14ac:dyDescent="0.2">
      <c r="A6" s="820" t="s">
        <v>513</v>
      </c>
      <c r="B6" s="820"/>
      <c r="C6" s="820"/>
      <c r="D6" s="820"/>
      <c r="E6" s="820"/>
      <c r="F6" s="217"/>
      <c r="G6" s="217"/>
      <c r="H6" s="217"/>
      <c r="I6" s="217"/>
      <c r="J6" s="217"/>
      <c r="K6" s="217"/>
      <c r="L6" s="217"/>
      <c r="M6" s="217"/>
      <c r="N6" s="217"/>
      <c r="O6" s="346"/>
      <c r="P6" s="346"/>
      <c r="Q6" s="346"/>
      <c r="R6" s="346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  <c r="AN6" s="347"/>
      <c r="AO6" s="347"/>
      <c r="AP6" s="347"/>
      <c r="AQ6" s="347"/>
      <c r="AR6" s="347"/>
      <c r="AS6" s="347"/>
      <c r="AT6" s="347"/>
      <c r="AU6" s="347"/>
      <c r="AV6" s="347"/>
      <c r="AW6" s="347"/>
    </row>
    <row r="7" spans="1:49" s="218" customFormat="1" ht="42" customHeight="1" x14ac:dyDescent="0.2">
      <c r="A7" s="600" t="s">
        <v>217</v>
      </c>
      <c r="B7" s="600" t="s">
        <v>77</v>
      </c>
      <c r="C7" s="629" t="s">
        <v>430</v>
      </c>
      <c r="D7" s="629" t="s">
        <v>536</v>
      </c>
      <c r="E7" s="629" t="s">
        <v>431</v>
      </c>
      <c r="F7" s="217"/>
      <c r="G7" s="217"/>
      <c r="H7" s="217"/>
      <c r="I7" s="217"/>
      <c r="J7" s="217"/>
      <c r="K7" s="217"/>
      <c r="L7" s="217"/>
      <c r="M7" s="217"/>
      <c r="N7" s="217"/>
      <c r="O7" s="346"/>
      <c r="P7" s="346"/>
      <c r="Q7" s="346"/>
      <c r="R7" s="346"/>
      <c r="S7" s="347"/>
      <c r="T7" s="347"/>
      <c r="U7" s="347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47"/>
      <c r="AK7" s="347"/>
      <c r="AL7" s="347"/>
      <c r="AM7" s="347"/>
      <c r="AN7" s="347"/>
      <c r="AO7" s="347"/>
      <c r="AP7" s="347"/>
      <c r="AQ7" s="347"/>
      <c r="AR7" s="347"/>
      <c r="AS7" s="347"/>
      <c r="AT7" s="347"/>
      <c r="AU7" s="347"/>
      <c r="AV7" s="347"/>
      <c r="AW7" s="347"/>
    </row>
    <row r="8" spans="1:49" s="218" customFormat="1" ht="42" customHeight="1" x14ac:dyDescent="0.2">
      <c r="A8" s="600" t="s">
        <v>68</v>
      </c>
      <c r="B8" s="600" t="s">
        <v>76</v>
      </c>
      <c r="C8" s="600" t="s">
        <v>69</v>
      </c>
      <c r="D8" s="600" t="s">
        <v>70</v>
      </c>
      <c r="E8" s="600" t="s">
        <v>71</v>
      </c>
      <c r="F8" s="217"/>
      <c r="G8" s="217"/>
      <c r="H8" s="217"/>
      <c r="I8" s="217"/>
      <c r="J8" s="217"/>
      <c r="K8" s="217"/>
      <c r="L8" s="217"/>
      <c r="M8" s="217"/>
      <c r="N8" s="217"/>
      <c r="O8" s="346"/>
      <c r="P8" s="346"/>
      <c r="Q8" s="346"/>
      <c r="R8" s="346"/>
      <c r="S8" s="347"/>
      <c r="T8" s="347"/>
      <c r="U8" s="347"/>
      <c r="V8" s="347"/>
      <c r="W8" s="347"/>
      <c r="X8" s="347"/>
      <c r="Y8" s="347"/>
      <c r="Z8" s="347"/>
      <c r="AA8" s="347"/>
      <c r="AB8" s="347"/>
      <c r="AC8" s="347"/>
      <c r="AD8" s="347"/>
      <c r="AE8" s="347"/>
      <c r="AF8" s="347"/>
      <c r="AG8" s="347"/>
      <c r="AH8" s="347"/>
      <c r="AI8" s="347"/>
      <c r="AJ8" s="347"/>
      <c r="AK8" s="347"/>
      <c r="AL8" s="347"/>
      <c r="AM8" s="347"/>
      <c r="AN8" s="347"/>
      <c r="AO8" s="347"/>
      <c r="AP8" s="347"/>
      <c r="AQ8" s="347"/>
      <c r="AR8" s="347"/>
      <c r="AS8" s="347"/>
      <c r="AT8" s="347"/>
      <c r="AU8" s="347"/>
      <c r="AV8" s="347"/>
      <c r="AW8" s="347"/>
    </row>
    <row r="9" spans="1:49" ht="15" x14ac:dyDescent="0.25">
      <c r="A9" s="493"/>
      <c r="B9" s="494" t="s">
        <v>432</v>
      </c>
      <c r="C9" s="824"/>
      <c r="D9" s="825"/>
      <c r="E9" s="826"/>
    </row>
    <row r="10" spans="1:49" ht="15.75" x14ac:dyDescent="0.25">
      <c r="A10" s="495">
        <v>1</v>
      </c>
      <c r="B10" s="496" t="s">
        <v>433</v>
      </c>
      <c r="C10" s="497">
        <v>16259000</v>
      </c>
      <c r="D10" s="498">
        <v>16000000</v>
      </c>
      <c r="E10" s="499">
        <v>259000</v>
      </c>
      <c r="F10" s="500"/>
    </row>
    <row r="11" spans="1:49" ht="15.75" x14ac:dyDescent="0.25">
      <c r="A11" s="495">
        <v>2</v>
      </c>
      <c r="B11" s="496" t="s">
        <v>434</v>
      </c>
      <c r="C11" s="497">
        <v>63319000</v>
      </c>
      <c r="D11" s="498">
        <v>63000000</v>
      </c>
      <c r="E11" s="499">
        <v>319000</v>
      </c>
      <c r="F11" s="500"/>
    </row>
    <row r="12" spans="1:49" ht="16.5" thickBot="1" x14ac:dyDescent="0.3">
      <c r="A12" s="501"/>
      <c r="B12" s="502" t="s">
        <v>79</v>
      </c>
      <c r="C12" s="503">
        <f>SUM(C10:C11)</f>
        <v>79578000</v>
      </c>
      <c r="D12" s="503">
        <f>SUM(D10:D11)</f>
        <v>79000000</v>
      </c>
      <c r="E12" s="504">
        <f>E10+E11</f>
        <v>578000</v>
      </c>
    </row>
    <row r="17" spans="4:4" x14ac:dyDescent="0.2">
      <c r="D17" s="505"/>
    </row>
  </sheetData>
  <mergeCells count="6">
    <mergeCell ref="C9:E9"/>
    <mergeCell ref="A1:E1"/>
    <mergeCell ref="A3:E3"/>
    <mergeCell ref="A5:E5"/>
    <mergeCell ref="A6:E6"/>
    <mergeCell ref="B2:E2"/>
  </mergeCells>
  <printOptions horizontalCentered="1"/>
  <pageMargins left="0.74803149606299213" right="0.74803149606299213" top="0.2187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AG43"/>
  <sheetViews>
    <sheetView showWhiteSpace="0" view="pageBreakPreview" zoomScaleNormal="8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.28515625" defaultRowHeight="15" x14ac:dyDescent="0.25"/>
  <cols>
    <col min="1" max="1" width="7.140625" style="78" customWidth="1"/>
    <col min="2" max="2" width="5" style="3" customWidth="1"/>
    <col min="3" max="3" width="11.42578125" style="3" customWidth="1"/>
    <col min="4" max="4" width="50.85546875" style="3" customWidth="1"/>
    <col min="5" max="5" width="15.7109375" style="38" bestFit="1" customWidth="1"/>
    <col min="6" max="6" width="13.7109375" style="38" customWidth="1"/>
    <col min="7" max="7" width="15.42578125" style="38" bestFit="1" customWidth="1"/>
    <col min="8" max="10" width="12.42578125" style="38" bestFit="1" customWidth="1"/>
    <col min="11" max="11" width="12" style="38" bestFit="1" customWidth="1"/>
    <col min="12" max="12" width="8" style="38" bestFit="1" customWidth="1"/>
    <col min="13" max="13" width="16.5703125" style="38" bestFit="1" customWidth="1"/>
    <col min="14" max="14" width="14" style="38" customWidth="1"/>
    <col min="15" max="15" width="10" style="38" customWidth="1"/>
    <col min="16" max="16" width="8" style="38" bestFit="1" customWidth="1"/>
    <col min="17" max="17" width="14.85546875" style="38" bestFit="1" customWidth="1"/>
    <col min="18" max="18" width="14" style="38" customWidth="1"/>
    <col min="19" max="19" width="12" style="38" bestFit="1" customWidth="1"/>
    <col min="20" max="20" width="10.7109375" style="38" bestFit="1" customWidth="1"/>
    <col min="21" max="21" width="12" style="38" customWidth="1"/>
    <col min="22" max="22" width="8" style="38" bestFit="1" customWidth="1"/>
    <col min="23" max="23" width="15.140625" style="38" customWidth="1"/>
    <col min="24" max="25" width="12.42578125" style="38" bestFit="1" customWidth="1"/>
    <col min="26" max="26" width="12.42578125" style="38" customWidth="1"/>
    <col min="27" max="27" width="14.28515625" style="38" bestFit="1" customWidth="1"/>
    <col min="28" max="28" width="12.42578125" style="3" bestFit="1" customWidth="1"/>
    <col min="29" max="29" width="14" style="3" customWidth="1"/>
    <col min="30" max="30" width="12.5703125" style="3" customWidth="1"/>
    <col min="31" max="31" width="10.28515625" style="3" bestFit="1" customWidth="1"/>
    <col min="32" max="16384" width="9.28515625" style="3"/>
  </cols>
  <sheetData>
    <row r="1" spans="1:33" s="654" customFormat="1" ht="28.5" customHeight="1" x14ac:dyDescent="0.3">
      <c r="A1" s="737" t="s">
        <v>584</v>
      </c>
      <c r="E1" s="655"/>
      <c r="F1" s="655"/>
      <c r="G1" s="655"/>
      <c r="H1" s="655"/>
      <c r="I1" s="655"/>
      <c r="J1" s="655"/>
      <c r="K1" s="655"/>
      <c r="M1" s="692"/>
      <c r="N1" s="692"/>
      <c r="O1" s="692"/>
      <c r="P1" s="692"/>
      <c r="Q1" s="692"/>
      <c r="R1" s="692"/>
      <c r="S1" s="692"/>
      <c r="T1" s="692"/>
      <c r="U1" s="692"/>
      <c r="V1" s="692"/>
      <c r="W1" s="692"/>
      <c r="X1" s="692"/>
      <c r="Y1" s="692"/>
      <c r="Z1" s="655"/>
      <c r="AA1" s="655"/>
    </row>
    <row r="2" spans="1:33" ht="26.25" customHeight="1" x14ac:dyDescent="0.3">
      <c r="A2" s="693" t="s">
        <v>542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</row>
    <row r="3" spans="1:33" ht="45.75" customHeight="1" x14ac:dyDescent="0.25">
      <c r="A3" s="77"/>
      <c r="B3" s="1">
        <v>1</v>
      </c>
      <c r="C3" s="1"/>
      <c r="D3" s="756" t="s">
        <v>578</v>
      </c>
      <c r="E3" s="756"/>
      <c r="F3" s="756"/>
      <c r="G3" s="756"/>
      <c r="H3" s="756"/>
      <c r="I3" s="756"/>
      <c r="J3" s="756"/>
      <c r="K3" s="756"/>
      <c r="L3" s="756"/>
      <c r="M3" s="756"/>
      <c r="N3" s="756"/>
      <c r="O3" s="756"/>
      <c r="P3" s="756"/>
      <c r="Q3" s="756"/>
      <c r="R3" s="756"/>
      <c r="S3" s="756"/>
      <c r="T3" s="756"/>
      <c r="U3" s="756"/>
      <c r="V3" s="756"/>
      <c r="W3" s="756"/>
      <c r="X3" s="756"/>
      <c r="Y3" s="756"/>
      <c r="Z3" s="756"/>
      <c r="AA3" s="756"/>
      <c r="AB3" s="756"/>
      <c r="AC3" s="756"/>
    </row>
    <row r="4" spans="1:33" ht="45.75" customHeight="1" x14ac:dyDescent="0.25">
      <c r="A4" s="77" t="s">
        <v>68</v>
      </c>
      <c r="B4" s="1"/>
      <c r="C4" s="1" t="s">
        <v>76</v>
      </c>
      <c r="D4" s="107" t="s">
        <v>69</v>
      </c>
      <c r="E4" s="751" t="s">
        <v>70</v>
      </c>
      <c r="F4" s="752"/>
      <c r="G4" s="751" t="s">
        <v>71</v>
      </c>
      <c r="H4" s="752"/>
      <c r="I4" s="751" t="s">
        <v>78</v>
      </c>
      <c r="J4" s="752"/>
      <c r="K4" s="751" t="s">
        <v>80</v>
      </c>
      <c r="L4" s="752"/>
      <c r="M4" s="751" t="s">
        <v>81</v>
      </c>
      <c r="N4" s="752"/>
      <c r="O4" s="751" t="s">
        <v>82</v>
      </c>
      <c r="P4" s="752"/>
      <c r="Q4" s="751"/>
      <c r="R4" s="752"/>
      <c r="S4" s="751" t="s">
        <v>83</v>
      </c>
      <c r="T4" s="752"/>
      <c r="U4" s="751" t="s">
        <v>120</v>
      </c>
      <c r="V4" s="752"/>
      <c r="W4" s="751" t="s">
        <v>110</v>
      </c>
      <c r="X4" s="752"/>
      <c r="Y4" s="751" t="s">
        <v>212</v>
      </c>
      <c r="Z4" s="752"/>
      <c r="AA4" s="751" t="s">
        <v>111</v>
      </c>
      <c r="AB4" s="753"/>
      <c r="AC4" s="752"/>
    </row>
    <row r="5" spans="1:33" ht="63.75" customHeight="1" x14ac:dyDescent="0.25">
      <c r="A5" s="77" t="s">
        <v>1</v>
      </c>
      <c r="B5" s="1">
        <v>2</v>
      </c>
      <c r="C5" s="29" t="s">
        <v>84</v>
      </c>
      <c r="D5" s="30" t="s">
        <v>85</v>
      </c>
      <c r="E5" s="754" t="s">
        <v>74</v>
      </c>
      <c r="F5" s="755"/>
      <c r="G5" s="754" t="s">
        <v>73</v>
      </c>
      <c r="H5" s="755"/>
      <c r="I5" s="754" t="s">
        <v>86</v>
      </c>
      <c r="J5" s="755"/>
      <c r="K5" s="754" t="s">
        <v>149</v>
      </c>
      <c r="L5" s="755"/>
      <c r="M5" s="754" t="s">
        <v>87</v>
      </c>
      <c r="N5" s="755"/>
      <c r="O5" s="754" t="s">
        <v>88</v>
      </c>
      <c r="P5" s="755"/>
      <c r="Q5" s="754" t="s">
        <v>297</v>
      </c>
      <c r="R5" s="755"/>
      <c r="S5" s="754" t="s">
        <v>89</v>
      </c>
      <c r="T5" s="755"/>
      <c r="U5" s="754" t="s">
        <v>23</v>
      </c>
      <c r="V5" s="755"/>
      <c r="W5" s="754" t="s">
        <v>151</v>
      </c>
      <c r="X5" s="755"/>
      <c r="Y5" s="754" t="s">
        <v>90</v>
      </c>
      <c r="Z5" s="755"/>
      <c r="AA5" s="757" t="s">
        <v>91</v>
      </c>
      <c r="AB5" s="757"/>
      <c r="AC5" s="757"/>
    </row>
    <row r="6" spans="1:33" s="34" customFormat="1" ht="51" customHeight="1" x14ac:dyDescent="0.25">
      <c r="A6" s="77" t="s">
        <v>3</v>
      </c>
      <c r="B6" s="31">
        <v>3</v>
      </c>
      <c r="C6" s="31"/>
      <c r="D6" s="30" t="s">
        <v>77</v>
      </c>
      <c r="E6" s="79" t="s">
        <v>218</v>
      </c>
      <c r="F6" s="15" t="s">
        <v>219</v>
      </c>
      <c r="G6" s="137" t="s">
        <v>218</v>
      </c>
      <c r="H6" s="15" t="s">
        <v>219</v>
      </c>
      <c r="I6" s="137" t="s">
        <v>218</v>
      </c>
      <c r="J6" s="15" t="s">
        <v>219</v>
      </c>
      <c r="K6" s="137" t="s">
        <v>218</v>
      </c>
      <c r="L6" s="15" t="s">
        <v>219</v>
      </c>
      <c r="M6" s="137" t="s">
        <v>218</v>
      </c>
      <c r="N6" s="15" t="s">
        <v>219</v>
      </c>
      <c r="O6" s="137" t="s">
        <v>218</v>
      </c>
      <c r="P6" s="15" t="s">
        <v>219</v>
      </c>
      <c r="Q6" s="153" t="s">
        <v>218</v>
      </c>
      <c r="R6" s="15" t="s">
        <v>219</v>
      </c>
      <c r="S6" s="137" t="s">
        <v>218</v>
      </c>
      <c r="T6" s="15" t="s">
        <v>219</v>
      </c>
      <c r="U6" s="137" t="s">
        <v>218</v>
      </c>
      <c r="V6" s="15" t="s">
        <v>219</v>
      </c>
      <c r="W6" s="137" t="s">
        <v>218</v>
      </c>
      <c r="X6" s="15" t="s">
        <v>219</v>
      </c>
      <c r="Y6" s="137" t="s">
        <v>218</v>
      </c>
      <c r="Z6" s="15" t="s">
        <v>219</v>
      </c>
      <c r="AA6" s="137" t="s">
        <v>218</v>
      </c>
      <c r="AB6" s="15" t="s">
        <v>219</v>
      </c>
      <c r="AC6" s="50" t="s">
        <v>219</v>
      </c>
      <c r="AD6" s="51"/>
      <c r="AE6" s="51"/>
      <c r="AF6" s="51"/>
      <c r="AG6" s="51"/>
    </row>
    <row r="7" spans="1:33" s="34" customFormat="1" ht="15.75" customHeight="1" x14ac:dyDescent="0.25">
      <c r="A7" s="77"/>
      <c r="B7" s="31"/>
      <c r="C7" s="31" t="s">
        <v>93</v>
      </c>
      <c r="D7" s="2" t="s">
        <v>512</v>
      </c>
      <c r="E7" s="154">
        <v>381000</v>
      </c>
      <c r="F7" s="160">
        <f>E7</f>
        <v>381000</v>
      </c>
      <c r="G7" s="150"/>
      <c r="H7" s="15"/>
      <c r="I7" s="150"/>
      <c r="J7" s="15"/>
      <c r="K7" s="150"/>
      <c r="L7" s="15"/>
      <c r="M7" s="150"/>
      <c r="N7" s="15"/>
      <c r="O7" s="155"/>
      <c r="P7" s="15"/>
      <c r="Q7" s="156">
        <f>7500000+2090083</f>
        <v>9590083</v>
      </c>
      <c r="R7" s="161">
        <f>Q7</f>
        <v>9590083</v>
      </c>
      <c r="S7" s="150"/>
      <c r="T7" s="15"/>
      <c r="U7" s="155"/>
      <c r="V7" s="15"/>
      <c r="W7" s="150"/>
      <c r="X7" s="15"/>
      <c r="Y7" s="150"/>
      <c r="Z7" s="15"/>
      <c r="AA7" s="87">
        <f>E7+G7+I7+M7+O7+S7+Y7+K7+U7+W7+Q7</f>
        <v>9971083</v>
      </c>
      <c r="AB7" s="17"/>
      <c r="AC7" s="87">
        <f>F7+H7+J7+L7+N7+P7+T7+X7+Z7+R7</f>
        <v>9971083</v>
      </c>
      <c r="AD7" s="51"/>
      <c r="AE7" s="51"/>
      <c r="AF7" s="51"/>
      <c r="AG7" s="51"/>
    </row>
    <row r="8" spans="1:33" s="34" customFormat="1" ht="15.75" customHeight="1" x14ac:dyDescent="0.25">
      <c r="A8" s="77"/>
      <c r="B8" s="31"/>
      <c r="C8" s="31" t="s">
        <v>94</v>
      </c>
      <c r="D8" s="2" t="s">
        <v>288</v>
      </c>
      <c r="E8" s="154">
        <f>10034000+500000</f>
        <v>10534000</v>
      </c>
      <c r="F8" s="160">
        <f t="shared" ref="F8:F18" si="0">E8</f>
        <v>10534000</v>
      </c>
      <c r="G8" s="155"/>
      <c r="H8" s="15"/>
      <c r="I8" s="152"/>
      <c r="J8" s="15"/>
      <c r="K8" s="152"/>
      <c r="L8" s="15"/>
      <c r="M8" s="152"/>
      <c r="N8" s="15"/>
      <c r="O8" s="152"/>
      <c r="P8" s="15"/>
      <c r="Q8" s="15"/>
      <c r="R8" s="15"/>
      <c r="S8" s="152"/>
      <c r="T8" s="15"/>
      <c r="U8" s="155"/>
      <c r="V8" s="15"/>
      <c r="W8" s="152"/>
      <c r="X8" s="15"/>
      <c r="Y8" s="152"/>
      <c r="Z8" s="15"/>
      <c r="AA8" s="87">
        <f t="shared" ref="AA8:AA19" si="1">E8+G8+I8+M8+O8+S8+Y8+K8+U8+W8</f>
        <v>10534000</v>
      </c>
      <c r="AB8" s="17"/>
      <c r="AC8" s="87">
        <f t="shared" ref="AC8:AC18" si="2">F8+H8+J8+L8+N8+P8+T8+X8+Z8</f>
        <v>10534000</v>
      </c>
      <c r="AD8" s="51"/>
      <c r="AE8" s="51"/>
      <c r="AF8" s="51"/>
      <c r="AG8" s="51"/>
    </row>
    <row r="9" spans="1:33" s="34" customFormat="1" ht="15.75" customHeight="1" x14ac:dyDescent="0.25">
      <c r="A9" s="77"/>
      <c r="B9" s="31"/>
      <c r="C9" s="31" t="s">
        <v>94</v>
      </c>
      <c r="D9" s="2" t="s">
        <v>289</v>
      </c>
      <c r="E9" s="154">
        <v>3175000</v>
      </c>
      <c r="F9" s="160">
        <f t="shared" si="0"/>
        <v>3175000</v>
      </c>
      <c r="G9" s="152"/>
      <c r="H9" s="15"/>
      <c r="I9" s="152"/>
      <c r="J9" s="15"/>
      <c r="K9" s="152"/>
      <c r="L9" s="15"/>
      <c r="M9" s="152"/>
      <c r="N9" s="144">
        <v>53212383</v>
      </c>
      <c r="O9" s="152"/>
      <c r="P9" s="15"/>
      <c r="Q9" s="15"/>
      <c r="R9" s="15"/>
      <c r="S9" s="152"/>
      <c r="T9" s="15"/>
      <c r="U9" s="155"/>
      <c r="V9" s="15"/>
      <c r="W9" s="152"/>
      <c r="X9" s="15"/>
      <c r="Y9" s="152"/>
      <c r="Z9" s="15"/>
      <c r="AA9" s="87">
        <f t="shared" si="1"/>
        <v>3175000</v>
      </c>
      <c r="AB9" s="17"/>
      <c r="AC9" s="87">
        <f t="shared" si="2"/>
        <v>56387383</v>
      </c>
      <c r="AD9" s="51"/>
      <c r="AE9" s="51"/>
      <c r="AF9" s="51"/>
      <c r="AG9" s="51"/>
    </row>
    <row r="10" spans="1:33" s="34" customFormat="1" ht="15.75" customHeight="1" x14ac:dyDescent="0.25">
      <c r="A10" s="77"/>
      <c r="B10" s="31"/>
      <c r="C10" s="31" t="s">
        <v>94</v>
      </c>
      <c r="D10" s="2" t="s">
        <v>290</v>
      </c>
      <c r="E10" s="154">
        <f>5970641+1612073</f>
        <v>7582714</v>
      </c>
      <c r="F10" s="160">
        <f t="shared" si="0"/>
        <v>7582714</v>
      </c>
      <c r="G10" s="152"/>
      <c r="H10" s="15"/>
      <c r="I10" s="152"/>
      <c r="J10" s="15"/>
      <c r="K10" s="152"/>
      <c r="L10" s="15"/>
      <c r="M10" s="152"/>
      <c r="N10" s="15"/>
      <c r="O10" s="152"/>
      <c r="P10" s="15"/>
      <c r="Q10" s="15"/>
      <c r="R10" s="15"/>
      <c r="S10" s="152"/>
      <c r="T10" s="15"/>
      <c r="U10" s="155"/>
      <c r="V10" s="15"/>
      <c r="W10" s="152"/>
      <c r="X10" s="15"/>
      <c r="Y10" s="152"/>
      <c r="Z10" s="15"/>
      <c r="AA10" s="87">
        <f t="shared" si="1"/>
        <v>7582714</v>
      </c>
      <c r="AB10" s="17"/>
      <c r="AC10" s="87">
        <f t="shared" si="2"/>
        <v>7582714</v>
      </c>
      <c r="AD10" s="51"/>
      <c r="AE10" s="51"/>
      <c r="AF10" s="51"/>
      <c r="AG10" s="51"/>
    </row>
    <row r="11" spans="1:33" s="34" customFormat="1" ht="15.75" customHeight="1" x14ac:dyDescent="0.25">
      <c r="A11" s="77"/>
      <c r="B11" s="31"/>
      <c r="C11" s="31" t="s">
        <v>94</v>
      </c>
      <c r="D11" s="2" t="s">
        <v>265</v>
      </c>
      <c r="E11" s="154">
        <v>8000000</v>
      </c>
      <c r="F11" s="160">
        <f t="shared" si="0"/>
        <v>8000000</v>
      </c>
      <c r="G11" s="155"/>
      <c r="H11" s="15"/>
      <c r="I11" s="153"/>
      <c r="J11" s="15"/>
      <c r="K11" s="153"/>
      <c r="L11" s="15"/>
      <c r="M11" s="153"/>
      <c r="N11" s="15"/>
      <c r="O11" s="153"/>
      <c r="P11" s="15"/>
      <c r="Q11" s="15"/>
      <c r="R11" s="15"/>
      <c r="S11" s="155">
        <v>600000</v>
      </c>
      <c r="T11" s="160">
        <f>S11</f>
        <v>600000</v>
      </c>
      <c r="U11" s="155"/>
      <c r="V11" s="15"/>
      <c r="W11" s="153"/>
      <c r="X11" s="15"/>
      <c r="Y11" s="153"/>
      <c r="Z11" s="15"/>
      <c r="AA11" s="87">
        <f t="shared" si="1"/>
        <v>8600000</v>
      </c>
      <c r="AB11" s="17"/>
      <c r="AC11" s="87">
        <f t="shared" si="2"/>
        <v>8600000</v>
      </c>
      <c r="AD11" s="51"/>
      <c r="AE11" s="51"/>
      <c r="AF11" s="51"/>
      <c r="AG11" s="51"/>
    </row>
    <row r="12" spans="1:33" s="34" customFormat="1" ht="15.75" customHeight="1" x14ac:dyDescent="0.25">
      <c r="A12" s="77"/>
      <c r="B12" s="31"/>
      <c r="C12" s="31" t="s">
        <v>93</v>
      </c>
      <c r="D12" s="2" t="s">
        <v>291</v>
      </c>
      <c r="E12" s="154"/>
      <c r="F12" s="160">
        <f t="shared" si="0"/>
        <v>0</v>
      </c>
      <c r="G12" s="155"/>
      <c r="H12" s="15"/>
      <c r="J12" s="15"/>
      <c r="K12" s="153"/>
      <c r="L12" s="15"/>
      <c r="M12" s="155">
        <v>15257600</v>
      </c>
      <c r="N12" s="160">
        <f>M12</f>
        <v>15257600</v>
      </c>
      <c r="O12" s="153"/>
      <c r="P12" s="15"/>
      <c r="Q12" s="15"/>
      <c r="R12" s="15"/>
      <c r="S12" s="153"/>
      <c r="T12" s="15"/>
      <c r="U12" s="155"/>
      <c r="V12" s="15"/>
      <c r="W12" s="153"/>
      <c r="X12" s="15"/>
      <c r="Y12" s="153"/>
      <c r="Z12" s="15"/>
      <c r="AA12" s="87">
        <f t="shared" si="1"/>
        <v>15257600</v>
      </c>
      <c r="AB12" s="17"/>
      <c r="AC12" s="87">
        <f t="shared" si="2"/>
        <v>15257600</v>
      </c>
      <c r="AD12" s="51"/>
      <c r="AE12" s="51"/>
      <c r="AF12" s="51"/>
      <c r="AG12" s="51"/>
    </row>
    <row r="13" spans="1:33" s="34" customFormat="1" ht="15.75" customHeight="1" x14ac:dyDescent="0.25">
      <c r="A13" s="77"/>
      <c r="B13" s="31"/>
      <c r="C13" s="31" t="s">
        <v>93</v>
      </c>
      <c r="D13" s="2" t="s">
        <v>292</v>
      </c>
      <c r="E13" s="154"/>
      <c r="F13" s="160">
        <f t="shared" si="0"/>
        <v>0</v>
      </c>
      <c r="G13" s="155"/>
      <c r="H13" s="15"/>
      <c r="I13" s="36"/>
      <c r="J13" s="15"/>
      <c r="K13" s="153"/>
      <c r="L13" s="15"/>
      <c r="M13" s="155">
        <v>228000</v>
      </c>
      <c r="N13" s="160">
        <f t="shared" ref="N13:N19" si="3">M13</f>
        <v>228000</v>
      </c>
      <c r="O13" s="153"/>
      <c r="P13" s="15"/>
      <c r="Q13" s="15"/>
      <c r="R13" s="15"/>
      <c r="S13" s="153"/>
      <c r="T13" s="15"/>
      <c r="U13" s="155"/>
      <c r="V13" s="15"/>
      <c r="W13" s="153"/>
      <c r="X13" s="15"/>
      <c r="Y13" s="153"/>
      <c r="Z13" s="15"/>
      <c r="AA13" s="87">
        <f t="shared" si="1"/>
        <v>228000</v>
      </c>
      <c r="AB13" s="17"/>
      <c r="AC13" s="87">
        <f t="shared" si="2"/>
        <v>228000</v>
      </c>
      <c r="AD13" s="51"/>
      <c r="AE13" s="51"/>
      <c r="AF13" s="51"/>
      <c r="AG13" s="51"/>
    </row>
    <row r="14" spans="1:33" s="34" customFormat="1" ht="15.75" customHeight="1" x14ac:dyDescent="0.25">
      <c r="A14" s="77"/>
      <c r="B14" s="31"/>
      <c r="C14" s="31" t="s">
        <v>94</v>
      </c>
      <c r="D14" s="2" t="s">
        <v>293</v>
      </c>
      <c r="E14" s="154"/>
      <c r="F14" s="160">
        <f t="shared" si="0"/>
        <v>0</v>
      </c>
      <c r="G14" s="155"/>
      <c r="H14" s="15"/>
      <c r="J14" s="15"/>
      <c r="K14" s="153"/>
      <c r="L14" s="15"/>
      <c r="M14" s="155">
        <v>240000</v>
      </c>
      <c r="N14" s="160">
        <f t="shared" si="3"/>
        <v>240000</v>
      </c>
      <c r="O14" s="153"/>
      <c r="P14" s="15"/>
      <c r="Q14" s="15"/>
      <c r="R14" s="15"/>
      <c r="S14" s="153"/>
      <c r="T14" s="15"/>
      <c r="U14" s="155"/>
      <c r="V14" s="15"/>
      <c r="W14" s="153"/>
      <c r="X14" s="15"/>
      <c r="Y14" s="153"/>
      <c r="Z14" s="15"/>
      <c r="AA14" s="87">
        <f t="shared" si="1"/>
        <v>240000</v>
      </c>
      <c r="AB14" s="17"/>
      <c r="AC14" s="87">
        <f t="shared" si="2"/>
        <v>240000</v>
      </c>
      <c r="AD14" s="51"/>
      <c r="AE14" s="51"/>
      <c r="AF14" s="51"/>
      <c r="AG14" s="51"/>
    </row>
    <row r="15" spans="1:33" s="34" customFormat="1" ht="15.75" customHeight="1" x14ac:dyDescent="0.25">
      <c r="A15" s="77"/>
      <c r="B15" s="31"/>
      <c r="C15" s="31" t="s">
        <v>93</v>
      </c>
      <c r="D15" s="2" t="s">
        <v>255</v>
      </c>
      <c r="E15" s="154">
        <f>5500000+1485000</f>
        <v>6985000</v>
      </c>
      <c r="F15" s="160">
        <f t="shared" si="0"/>
        <v>6985000</v>
      </c>
      <c r="G15" s="155"/>
      <c r="H15" s="15"/>
      <c r="I15" s="155"/>
      <c r="J15" s="15"/>
      <c r="K15" s="153"/>
      <c r="L15" s="15"/>
      <c r="M15" s="153"/>
      <c r="N15" s="160">
        <f t="shared" si="3"/>
        <v>0</v>
      </c>
      <c r="O15" s="153"/>
      <c r="P15" s="15"/>
      <c r="Q15" s="15"/>
      <c r="R15" s="15"/>
      <c r="S15" s="153"/>
      <c r="T15" s="15"/>
      <c r="U15" s="155"/>
      <c r="V15" s="15"/>
      <c r="W15" s="153"/>
      <c r="X15" s="15"/>
      <c r="Y15" s="153"/>
      <c r="Z15" s="15"/>
      <c r="AA15" s="87">
        <f t="shared" si="1"/>
        <v>6985000</v>
      </c>
      <c r="AB15" s="17"/>
      <c r="AC15" s="87">
        <f t="shared" si="2"/>
        <v>6985000</v>
      </c>
      <c r="AD15" s="51"/>
      <c r="AE15" s="51"/>
      <c r="AF15" s="51"/>
      <c r="AG15" s="51"/>
    </row>
    <row r="16" spans="1:33" s="34" customFormat="1" ht="15.75" customHeight="1" x14ac:dyDescent="0.25">
      <c r="A16" s="77"/>
      <c r="B16" s="31"/>
      <c r="C16" s="31" t="s">
        <v>93</v>
      </c>
      <c r="D16" s="2" t="s">
        <v>294</v>
      </c>
      <c r="E16" s="154">
        <v>38100</v>
      </c>
      <c r="F16" s="160">
        <f t="shared" si="0"/>
        <v>38100</v>
      </c>
      <c r="G16" s="155"/>
      <c r="H16" s="15"/>
      <c r="I16" s="155"/>
      <c r="J16" s="15"/>
      <c r="K16" s="153"/>
      <c r="L16" s="15"/>
      <c r="M16" s="153"/>
      <c r="N16" s="160">
        <f t="shared" si="3"/>
        <v>0</v>
      </c>
      <c r="O16" s="153"/>
      <c r="P16" s="15"/>
      <c r="Q16" s="15"/>
      <c r="R16" s="15"/>
      <c r="S16" s="153"/>
      <c r="T16" s="15"/>
      <c r="U16" s="155"/>
      <c r="V16" s="15"/>
      <c r="W16" s="153"/>
      <c r="X16" s="15"/>
      <c r="Y16" s="153"/>
      <c r="Z16" s="15"/>
      <c r="AA16" s="87">
        <f t="shared" si="1"/>
        <v>38100</v>
      </c>
      <c r="AB16" s="17"/>
      <c r="AC16" s="87">
        <f t="shared" si="2"/>
        <v>38100</v>
      </c>
      <c r="AD16" s="51"/>
      <c r="AE16" s="51"/>
      <c r="AF16" s="51"/>
      <c r="AG16" s="51"/>
    </row>
    <row r="17" spans="1:33" s="34" customFormat="1" ht="15.75" customHeight="1" x14ac:dyDescent="0.25">
      <c r="A17" s="77"/>
      <c r="B17" s="31"/>
      <c r="C17" s="31" t="s">
        <v>93</v>
      </c>
      <c r="D17" s="2" t="s">
        <v>295</v>
      </c>
      <c r="E17" s="154"/>
      <c r="F17" s="160">
        <f t="shared" si="0"/>
        <v>0</v>
      </c>
      <c r="G17" s="155">
        <v>79500000</v>
      </c>
      <c r="H17" s="160">
        <f>G17</f>
        <v>79500000</v>
      </c>
      <c r="I17" s="155"/>
      <c r="J17" s="15"/>
      <c r="K17" s="153"/>
      <c r="L17" s="15"/>
      <c r="M17" s="155"/>
      <c r="N17" s="160">
        <f t="shared" si="3"/>
        <v>0</v>
      </c>
      <c r="O17" s="153"/>
      <c r="P17" s="15"/>
      <c r="Q17" s="15"/>
      <c r="R17" s="15"/>
      <c r="S17" s="153"/>
      <c r="T17" s="15"/>
      <c r="U17" s="155"/>
      <c r="V17" s="15"/>
      <c r="W17" s="153"/>
      <c r="X17" s="15"/>
      <c r="Y17" s="153"/>
      <c r="Z17" s="15"/>
      <c r="AA17" s="87">
        <f t="shared" si="1"/>
        <v>79500000</v>
      </c>
      <c r="AB17" s="17"/>
      <c r="AC17" s="87">
        <f t="shared" si="2"/>
        <v>79500000</v>
      </c>
      <c r="AD17" s="51"/>
      <c r="AE17" s="51"/>
      <c r="AF17" s="51"/>
      <c r="AG17" s="51"/>
    </row>
    <row r="18" spans="1:33" s="34" customFormat="1" ht="15.75" customHeight="1" x14ac:dyDescent="0.25">
      <c r="A18" s="77"/>
      <c r="B18" s="31"/>
      <c r="C18" s="31" t="s">
        <v>93</v>
      </c>
      <c r="D18" s="2" t="s">
        <v>296</v>
      </c>
      <c r="E18" s="154"/>
      <c r="F18" s="160">
        <f t="shared" si="0"/>
        <v>0</v>
      </c>
      <c r="G18" s="155"/>
      <c r="H18" s="15"/>
      <c r="I18" s="155">
        <f>195358281+156496400+106168520+29774000+57264785+10481100</f>
        <v>555543086</v>
      </c>
      <c r="J18" s="160">
        <f>I18+45393+9016188</f>
        <v>564604667</v>
      </c>
      <c r="K18" s="153"/>
      <c r="L18" s="15"/>
      <c r="M18" s="155"/>
      <c r="N18" s="160">
        <f t="shared" si="3"/>
        <v>0</v>
      </c>
      <c r="O18" s="153"/>
      <c r="P18" s="15"/>
      <c r="Q18" s="15"/>
      <c r="R18" s="15"/>
      <c r="S18" s="153"/>
      <c r="T18" s="15"/>
      <c r="U18" s="155"/>
      <c r="V18" s="15"/>
      <c r="W18" s="155">
        <f>20661155+11501772+46631425+917233+76622+2780621+6216792+797944+18953096+135383532</f>
        <v>243920192</v>
      </c>
      <c r="X18" s="160">
        <f>W18-29670071</f>
        <v>214250121</v>
      </c>
      <c r="Y18" s="153"/>
      <c r="Z18" s="15"/>
      <c r="AA18" s="87">
        <f t="shared" si="1"/>
        <v>799463278</v>
      </c>
      <c r="AB18" s="17"/>
      <c r="AC18" s="87">
        <f t="shared" si="2"/>
        <v>778854788</v>
      </c>
      <c r="AD18" s="51"/>
      <c r="AE18" s="51"/>
      <c r="AF18" s="51"/>
      <c r="AG18" s="51"/>
    </row>
    <row r="19" spans="1:33" s="34" customFormat="1" ht="15.75" customHeight="1" x14ac:dyDescent="0.25">
      <c r="A19" s="77"/>
      <c r="B19" s="31"/>
      <c r="C19" s="31"/>
      <c r="D19" s="2"/>
      <c r="E19" s="154"/>
      <c r="F19" s="15"/>
      <c r="G19" s="155"/>
      <c r="H19" s="15"/>
      <c r="I19" s="155"/>
      <c r="J19" s="15"/>
      <c r="K19" s="153"/>
      <c r="L19" s="15"/>
      <c r="M19" s="155"/>
      <c r="N19" s="160">
        <f t="shared" si="3"/>
        <v>0</v>
      </c>
      <c r="O19" s="153"/>
      <c r="P19" s="15"/>
      <c r="Q19" s="15"/>
      <c r="R19" s="15"/>
      <c r="S19" s="153"/>
      <c r="T19" s="15"/>
      <c r="U19" s="155"/>
      <c r="V19" s="15"/>
      <c r="W19" s="155"/>
      <c r="X19" s="15"/>
      <c r="Y19" s="153"/>
      <c r="Z19" s="15"/>
      <c r="AA19" s="87">
        <f t="shared" si="1"/>
        <v>0</v>
      </c>
      <c r="AB19" s="17"/>
      <c r="AC19" s="87"/>
      <c r="AD19" s="51"/>
      <c r="AE19" s="51"/>
      <c r="AF19" s="51"/>
      <c r="AG19" s="51"/>
    </row>
    <row r="20" spans="1:33" ht="15.75" x14ac:dyDescent="0.25">
      <c r="A20" s="77"/>
      <c r="B20" s="1"/>
      <c r="C20" s="1"/>
      <c r="D20" s="30" t="s">
        <v>95</v>
      </c>
      <c r="E20" s="81">
        <f>SUM(E7:E19)</f>
        <v>36695814</v>
      </c>
      <c r="F20" s="81">
        <f t="shared" ref="F20:AC20" si="4">SUM(F7:F19)</f>
        <v>36695814</v>
      </c>
      <c r="G20" s="81">
        <f t="shared" si="4"/>
        <v>79500000</v>
      </c>
      <c r="H20" s="81">
        <f t="shared" si="4"/>
        <v>79500000</v>
      </c>
      <c r="I20" s="81">
        <f t="shared" si="4"/>
        <v>555543086</v>
      </c>
      <c r="J20" s="81">
        <f t="shared" si="4"/>
        <v>564604667</v>
      </c>
      <c r="K20" s="81">
        <f t="shared" si="4"/>
        <v>0</v>
      </c>
      <c r="L20" s="81">
        <f t="shared" si="4"/>
        <v>0</v>
      </c>
      <c r="M20" s="81">
        <f t="shared" si="4"/>
        <v>15725600</v>
      </c>
      <c r="N20" s="81">
        <f t="shared" si="4"/>
        <v>68937983</v>
      </c>
      <c r="O20" s="81">
        <f t="shared" si="4"/>
        <v>0</v>
      </c>
      <c r="P20" s="81">
        <f t="shared" si="4"/>
        <v>0</v>
      </c>
      <c r="Q20" s="81">
        <f t="shared" si="4"/>
        <v>9590083</v>
      </c>
      <c r="R20" s="81">
        <f t="shared" si="4"/>
        <v>9590083</v>
      </c>
      <c r="S20" s="81">
        <f t="shared" si="4"/>
        <v>600000</v>
      </c>
      <c r="T20" s="81">
        <f t="shared" si="4"/>
        <v>600000</v>
      </c>
      <c r="U20" s="81">
        <f t="shared" si="4"/>
        <v>0</v>
      </c>
      <c r="V20" s="81">
        <f t="shared" si="4"/>
        <v>0</v>
      </c>
      <c r="W20" s="81">
        <f t="shared" si="4"/>
        <v>243920192</v>
      </c>
      <c r="X20" s="81">
        <f t="shared" si="4"/>
        <v>214250121</v>
      </c>
      <c r="Y20" s="81">
        <f t="shared" si="4"/>
        <v>0</v>
      </c>
      <c r="Z20" s="81">
        <f t="shared" si="4"/>
        <v>0</v>
      </c>
      <c r="AA20" s="81">
        <f t="shared" si="4"/>
        <v>941574775</v>
      </c>
      <c r="AB20" s="81">
        <f t="shared" si="4"/>
        <v>0</v>
      </c>
      <c r="AC20" s="81">
        <f t="shared" si="4"/>
        <v>974178668</v>
      </c>
      <c r="AD20" s="145"/>
    </row>
    <row r="21" spans="1:33" x14ac:dyDescent="0.25">
      <c r="A21" s="77"/>
      <c r="B21" s="1"/>
      <c r="C21" s="1"/>
      <c r="D21" s="28" t="s">
        <v>96</v>
      </c>
      <c r="E21" s="82">
        <f>E7+E12+E13+E15+E16+E17+E18</f>
        <v>7404100</v>
      </c>
      <c r="F21" s="82">
        <f t="shared" ref="F21:AC21" si="5">F7+F12+F13+F15+F16+F17+F18</f>
        <v>7404100</v>
      </c>
      <c r="G21" s="82">
        <f t="shared" si="5"/>
        <v>79500000</v>
      </c>
      <c r="H21" s="82">
        <f t="shared" si="5"/>
        <v>79500000</v>
      </c>
      <c r="I21" s="82">
        <f t="shared" si="5"/>
        <v>555543086</v>
      </c>
      <c r="J21" s="82">
        <f t="shared" si="5"/>
        <v>564604667</v>
      </c>
      <c r="K21" s="82">
        <f t="shared" si="5"/>
        <v>0</v>
      </c>
      <c r="L21" s="82">
        <f t="shared" si="5"/>
        <v>0</v>
      </c>
      <c r="M21" s="82">
        <f t="shared" si="5"/>
        <v>15485600</v>
      </c>
      <c r="N21" s="82">
        <f t="shared" si="5"/>
        <v>15485600</v>
      </c>
      <c r="O21" s="82">
        <f t="shared" si="5"/>
        <v>0</v>
      </c>
      <c r="P21" s="82">
        <f t="shared" si="5"/>
        <v>0</v>
      </c>
      <c r="Q21" s="82">
        <f t="shared" si="5"/>
        <v>9590083</v>
      </c>
      <c r="R21" s="82">
        <f t="shared" si="5"/>
        <v>9590083</v>
      </c>
      <c r="S21" s="82">
        <f t="shared" si="5"/>
        <v>0</v>
      </c>
      <c r="T21" s="82">
        <f t="shared" si="5"/>
        <v>0</v>
      </c>
      <c r="U21" s="82">
        <f t="shared" si="5"/>
        <v>0</v>
      </c>
      <c r="V21" s="82">
        <f t="shared" si="5"/>
        <v>0</v>
      </c>
      <c r="W21" s="82">
        <f t="shared" si="5"/>
        <v>243920192</v>
      </c>
      <c r="X21" s="82">
        <f t="shared" si="5"/>
        <v>214250121</v>
      </c>
      <c r="Y21" s="82">
        <f t="shared" si="5"/>
        <v>0</v>
      </c>
      <c r="Z21" s="82">
        <f t="shared" si="5"/>
        <v>0</v>
      </c>
      <c r="AA21" s="82">
        <f t="shared" si="5"/>
        <v>911443061</v>
      </c>
      <c r="AB21" s="82">
        <f t="shared" si="5"/>
        <v>0</v>
      </c>
      <c r="AC21" s="82">
        <f t="shared" si="5"/>
        <v>890834571</v>
      </c>
      <c r="AD21" s="136"/>
    </row>
    <row r="22" spans="1:33" s="34" customFormat="1" x14ac:dyDescent="0.25">
      <c r="A22" s="77"/>
      <c r="B22" s="1"/>
      <c r="C22" s="1"/>
      <c r="D22" s="28" t="s">
        <v>133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6"/>
      <c r="Z22" s="86"/>
      <c r="AA22" s="82">
        <f t="shared" ref="AA22" si="6">E22+G22+I22+M22+O22+S22+Y22+K22+W22</f>
        <v>0</v>
      </c>
      <c r="AB22" s="82">
        <v>5525</v>
      </c>
      <c r="AC22" s="87">
        <f t="shared" ref="AC22" si="7">F22+H22+J22+N22+P22+T22+Z22+L22+X22</f>
        <v>0</v>
      </c>
      <c r="AD22" s="33"/>
      <c r="AE22" s="33"/>
    </row>
    <row r="23" spans="1:33" x14ac:dyDescent="0.25">
      <c r="A23" s="77"/>
      <c r="B23" s="1"/>
      <c r="C23" s="28"/>
      <c r="D23" s="28" t="s">
        <v>97</v>
      </c>
      <c r="E23" s="82">
        <f>E8+E9+E10+E11+E14</f>
        <v>29291714</v>
      </c>
      <c r="F23" s="82">
        <f t="shared" ref="F23:AC23" si="8">F8+F9+F10+F11+F14</f>
        <v>29291714</v>
      </c>
      <c r="G23" s="82">
        <f t="shared" si="8"/>
        <v>0</v>
      </c>
      <c r="H23" s="82">
        <f t="shared" si="8"/>
        <v>0</v>
      </c>
      <c r="I23" s="82">
        <f t="shared" si="8"/>
        <v>0</v>
      </c>
      <c r="J23" s="82">
        <f t="shared" si="8"/>
        <v>0</v>
      </c>
      <c r="K23" s="82">
        <f t="shared" si="8"/>
        <v>0</v>
      </c>
      <c r="L23" s="82">
        <f t="shared" si="8"/>
        <v>0</v>
      </c>
      <c r="M23" s="82">
        <f t="shared" si="8"/>
        <v>240000</v>
      </c>
      <c r="N23" s="82">
        <f t="shared" si="8"/>
        <v>53452383</v>
      </c>
      <c r="O23" s="82">
        <f t="shared" si="8"/>
        <v>0</v>
      </c>
      <c r="P23" s="82">
        <f t="shared" si="8"/>
        <v>0</v>
      </c>
      <c r="Q23" s="82">
        <f t="shared" si="8"/>
        <v>0</v>
      </c>
      <c r="R23" s="82">
        <f t="shared" si="8"/>
        <v>0</v>
      </c>
      <c r="S23" s="82">
        <f t="shared" si="8"/>
        <v>600000</v>
      </c>
      <c r="T23" s="82">
        <f t="shared" si="8"/>
        <v>600000</v>
      </c>
      <c r="U23" s="82">
        <f t="shared" si="8"/>
        <v>0</v>
      </c>
      <c r="V23" s="82">
        <f t="shared" si="8"/>
        <v>0</v>
      </c>
      <c r="W23" s="82">
        <f t="shared" si="8"/>
        <v>0</v>
      </c>
      <c r="X23" s="82">
        <f t="shared" si="8"/>
        <v>0</v>
      </c>
      <c r="Y23" s="82">
        <f t="shared" si="8"/>
        <v>0</v>
      </c>
      <c r="Z23" s="82">
        <f t="shared" si="8"/>
        <v>0</v>
      </c>
      <c r="AA23" s="82">
        <f t="shared" si="8"/>
        <v>30131714</v>
      </c>
      <c r="AB23" s="82">
        <f t="shared" si="8"/>
        <v>0</v>
      </c>
      <c r="AC23" s="82">
        <f t="shared" si="8"/>
        <v>83344097</v>
      </c>
      <c r="AD23" s="33"/>
      <c r="AE23" s="33"/>
    </row>
    <row r="24" spans="1:33" x14ac:dyDescent="0.25">
      <c r="A24" s="77"/>
      <c r="B24" s="1"/>
      <c r="C24" s="31"/>
      <c r="D24" s="32" t="s">
        <v>307</v>
      </c>
      <c r="E24" s="49">
        <f>E25+E26+E27</f>
        <v>247650</v>
      </c>
      <c r="F24" s="49">
        <f t="shared" ref="F24:AC24" si="9">F25+F26+F27</f>
        <v>247650</v>
      </c>
      <c r="G24" s="49">
        <f t="shared" si="9"/>
        <v>0</v>
      </c>
      <c r="H24" s="49">
        <f t="shared" si="9"/>
        <v>0</v>
      </c>
      <c r="I24" s="49">
        <f t="shared" si="9"/>
        <v>0</v>
      </c>
      <c r="J24" s="49">
        <f t="shared" si="9"/>
        <v>0</v>
      </c>
      <c r="K24" s="49">
        <f t="shared" si="9"/>
        <v>0</v>
      </c>
      <c r="L24" s="49">
        <f t="shared" si="9"/>
        <v>0</v>
      </c>
      <c r="M24" s="49">
        <f t="shared" si="9"/>
        <v>0</v>
      </c>
      <c r="N24" s="49">
        <f t="shared" si="9"/>
        <v>0</v>
      </c>
      <c r="O24" s="49">
        <f t="shared" si="9"/>
        <v>0</v>
      </c>
      <c r="P24" s="49">
        <f t="shared" si="9"/>
        <v>0</v>
      </c>
      <c r="Q24" s="49">
        <f t="shared" si="9"/>
        <v>0</v>
      </c>
      <c r="R24" s="49">
        <f t="shared" si="9"/>
        <v>0</v>
      </c>
      <c r="S24" s="49">
        <f t="shared" si="9"/>
        <v>0</v>
      </c>
      <c r="T24" s="49">
        <f t="shared" si="9"/>
        <v>0</v>
      </c>
      <c r="U24" s="49">
        <f t="shared" si="9"/>
        <v>0</v>
      </c>
      <c r="V24" s="49">
        <f t="shared" si="9"/>
        <v>0</v>
      </c>
      <c r="W24" s="49">
        <f t="shared" si="9"/>
        <v>1072786</v>
      </c>
      <c r="X24" s="49">
        <f t="shared" si="9"/>
        <v>1128001</v>
      </c>
      <c r="Y24" s="49">
        <f t="shared" si="9"/>
        <v>125831834</v>
      </c>
      <c r="Z24" s="49">
        <f t="shared" si="9"/>
        <v>125831834</v>
      </c>
      <c r="AA24" s="49">
        <f t="shared" si="9"/>
        <v>127152270</v>
      </c>
      <c r="AB24" s="49">
        <f t="shared" si="9"/>
        <v>126079484</v>
      </c>
      <c r="AC24" s="49">
        <f t="shared" si="9"/>
        <v>127207485</v>
      </c>
      <c r="AD24" s="163"/>
      <c r="AE24" s="33"/>
    </row>
    <row r="25" spans="1:33" x14ac:dyDescent="0.25">
      <c r="A25" s="77"/>
      <c r="B25" s="1"/>
      <c r="C25" s="1" t="s">
        <v>93</v>
      </c>
      <c r="D25" s="35" t="s">
        <v>98</v>
      </c>
      <c r="E25" s="83">
        <f>'3.mellékletPH.bev.'!D10</f>
        <v>247650</v>
      </c>
      <c r="F25" s="83">
        <f>'3.mellékletPH.bev.'!E10</f>
        <v>247650</v>
      </c>
      <c r="G25" s="83">
        <f>'3.mellékletPH.bev.'!F10</f>
        <v>0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>
        <f>'3.mellékletPH.bev.'!R8</f>
        <v>1072786</v>
      </c>
      <c r="X25" s="83">
        <f>'3.mellékletPH.bev.'!S8</f>
        <v>1128001</v>
      </c>
      <c r="Y25" s="133">
        <f>'3.mellékletPH.bev.'!P8</f>
        <v>125831834</v>
      </c>
      <c r="Z25" s="133">
        <f>'3.mellékletPH.bev.'!Q8</f>
        <v>125831834</v>
      </c>
      <c r="AA25" s="131">
        <f>E25+G25+I25+M25+O25+S25+Y25+W25</f>
        <v>127152270</v>
      </c>
      <c r="AB25" s="131">
        <f>F25+H25+J25+N25+P25+T25+Z25</f>
        <v>126079484</v>
      </c>
      <c r="AC25" s="131">
        <f>F25+H25+J25+N25+P25+T25+Z25+X25</f>
        <v>127207485</v>
      </c>
      <c r="AD25" s="33"/>
      <c r="AE25" s="33"/>
    </row>
    <row r="26" spans="1:33" s="34" customFormat="1" x14ac:dyDescent="0.25">
      <c r="A26" s="77"/>
      <c r="B26" s="1"/>
      <c r="C26" s="1" t="s">
        <v>94</v>
      </c>
      <c r="D26" s="35" t="s">
        <v>99</v>
      </c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133">
        <f>'3.mellékletPH.bev.'!P7</f>
        <v>0</v>
      </c>
      <c r="Z26" s="133">
        <f>'3.mellékletPH.bev.'!Q7</f>
        <v>0</v>
      </c>
      <c r="AA26" s="131">
        <f t="shared" ref="AA26:AA27" si="10">E26+G26+I26+M26+O26+S26+Y26</f>
        <v>0</v>
      </c>
      <c r="AB26" s="132"/>
      <c r="AC26" s="131">
        <f t="shared" ref="AC26:AC27" si="11">F26+H26+J26+N26+P26+T26+Z26+X26</f>
        <v>0</v>
      </c>
      <c r="AD26" s="33"/>
      <c r="AE26" s="33"/>
    </row>
    <row r="27" spans="1:33" x14ac:dyDescent="0.25">
      <c r="A27" s="77"/>
      <c r="B27" s="1"/>
      <c r="C27" s="1" t="s">
        <v>138</v>
      </c>
      <c r="D27" s="35" t="s">
        <v>133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133"/>
      <c r="Z27" s="130"/>
      <c r="AA27" s="131">
        <f t="shared" si="10"/>
        <v>0</v>
      </c>
      <c r="AB27" s="132"/>
      <c r="AC27" s="131">
        <f t="shared" si="11"/>
        <v>0</v>
      </c>
      <c r="AD27" s="33"/>
      <c r="AE27" s="33"/>
    </row>
    <row r="28" spans="1:33" x14ac:dyDescent="0.25">
      <c r="A28" s="77"/>
      <c r="B28" s="1"/>
      <c r="C28" s="31"/>
      <c r="D28" s="32" t="s">
        <v>308</v>
      </c>
      <c r="E28" s="49">
        <f>E29+E30</f>
        <v>215900</v>
      </c>
      <c r="F28" s="49">
        <f t="shared" ref="F28" si="12">F29+F30</f>
        <v>215900</v>
      </c>
      <c r="G28" s="49">
        <f t="shared" ref="G28" si="13">G29+G30</f>
        <v>0</v>
      </c>
      <c r="H28" s="49">
        <f t="shared" ref="H28" si="14">H29+H30</f>
        <v>0</v>
      </c>
      <c r="I28" s="49">
        <f t="shared" ref="I28" si="15">I29+I30</f>
        <v>0</v>
      </c>
      <c r="J28" s="49">
        <f t="shared" ref="J28" si="16">J29+J30</f>
        <v>0</v>
      </c>
      <c r="K28" s="49">
        <f t="shared" ref="K28" si="17">K29+K30</f>
        <v>0</v>
      </c>
      <c r="L28" s="49">
        <f t="shared" ref="L28" si="18">L29+L30</f>
        <v>0</v>
      </c>
      <c r="M28" s="49">
        <f t="shared" ref="M28" si="19">M29+M30</f>
        <v>0</v>
      </c>
      <c r="N28" s="49">
        <f t="shared" ref="N28" si="20">N29+N30</f>
        <v>0</v>
      </c>
      <c r="O28" s="49">
        <f t="shared" ref="O28" si="21">O29+O30</f>
        <v>0</v>
      </c>
      <c r="P28" s="49">
        <f t="shared" ref="P28" si="22">P29+P30</f>
        <v>0</v>
      </c>
      <c r="Q28" s="49">
        <f t="shared" ref="Q28" si="23">Q29+Q30</f>
        <v>0</v>
      </c>
      <c r="R28" s="49">
        <f t="shared" ref="R28" si="24">R29+R30</f>
        <v>0</v>
      </c>
      <c r="S28" s="49">
        <f t="shared" ref="S28" si="25">S29+S30</f>
        <v>0</v>
      </c>
      <c r="T28" s="49">
        <f t="shared" ref="T28" si="26">T29+T30</f>
        <v>0</v>
      </c>
      <c r="U28" s="49">
        <f t="shared" ref="U28" si="27">U29+U30</f>
        <v>0</v>
      </c>
      <c r="V28" s="49">
        <f t="shared" ref="V28" si="28">V29+V30</f>
        <v>0</v>
      </c>
      <c r="W28" s="49">
        <f t="shared" ref="W28" si="29">W29+W30</f>
        <v>3688793</v>
      </c>
      <c r="X28" s="49">
        <f t="shared" ref="X28" si="30">X29+X30</f>
        <v>4067883</v>
      </c>
      <c r="Y28" s="49">
        <f t="shared" ref="Y28" si="31">Y29+Y30</f>
        <v>154392520</v>
      </c>
      <c r="Z28" s="49">
        <f t="shared" ref="Z28" si="32">Z29+Z30</f>
        <v>154437913</v>
      </c>
      <c r="AA28" s="49">
        <f t="shared" ref="AA28" si="33">AA29+AA30</f>
        <v>158297213</v>
      </c>
      <c r="AB28" s="49">
        <f t="shared" ref="AB28" si="34">AB29+AB30</f>
        <v>154653813</v>
      </c>
      <c r="AC28" s="49">
        <f t="shared" ref="AC28" si="35">AC29+AC30</f>
        <v>158721696</v>
      </c>
      <c r="AD28" s="33"/>
      <c r="AE28" s="33"/>
    </row>
    <row r="29" spans="1:33" s="34" customFormat="1" x14ac:dyDescent="0.25">
      <c r="A29" s="77"/>
      <c r="B29" s="1"/>
      <c r="C29" s="1" t="s">
        <v>93</v>
      </c>
      <c r="D29" s="35" t="s">
        <v>98</v>
      </c>
      <c r="E29" s="83">
        <f>'5. Óvoda bev'!D13</f>
        <v>215900</v>
      </c>
      <c r="F29" s="83">
        <f>'5. Óvoda bev'!E13</f>
        <v>215900</v>
      </c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>
        <f>'5. Óvoda bev'!R13</f>
        <v>3688793</v>
      </c>
      <c r="X29" s="83">
        <f>'5. Óvoda bev'!S7</f>
        <v>4067883</v>
      </c>
      <c r="Y29" s="133">
        <f>'5. Óvoda bev'!P7</f>
        <v>154392520</v>
      </c>
      <c r="Z29" s="133">
        <f>'5. Óvoda bev'!Q13</f>
        <v>154437913</v>
      </c>
      <c r="AA29" s="133">
        <f>E29+G29+I29+K29+M29+O29+S29+Y29+W29</f>
        <v>158297213</v>
      </c>
      <c r="AB29" s="133">
        <f t="shared" ref="AB29:AB30" si="36">F29+H29+J29+L29+N29+P29+T29+Z29</f>
        <v>154653813</v>
      </c>
      <c r="AC29" s="133">
        <f>F29+H29+J29+L29+N29+P29+T29+Z29+X29</f>
        <v>158721696</v>
      </c>
      <c r="AD29" s="33"/>
      <c r="AE29" s="33"/>
    </row>
    <row r="30" spans="1:33" x14ac:dyDescent="0.25">
      <c r="A30" s="77"/>
      <c r="B30" s="1"/>
      <c r="C30" s="1" t="s">
        <v>94</v>
      </c>
      <c r="D30" s="35" t="s">
        <v>99</v>
      </c>
      <c r="E30" s="83">
        <f>'5. Óvoda bev'!D14</f>
        <v>0</v>
      </c>
      <c r="F30" s="83">
        <f>'5. Óvoda bev'!E14</f>
        <v>0</v>
      </c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130"/>
      <c r="Z30" s="130"/>
      <c r="AA30" s="133">
        <f>E30+G30+I30+K30+M30+O30+S30+Y30</f>
        <v>0</v>
      </c>
      <c r="AB30" s="133">
        <f t="shared" si="36"/>
        <v>0</v>
      </c>
      <c r="AC30" s="133">
        <f>F30+H30+J30+L30+N30+P30+T30+Z30+X30</f>
        <v>0</v>
      </c>
      <c r="AD30" s="33"/>
      <c r="AE30" s="33"/>
    </row>
    <row r="31" spans="1:33" x14ac:dyDescent="0.25">
      <c r="A31" s="77"/>
      <c r="B31" s="1"/>
      <c r="C31" s="31"/>
      <c r="D31" s="32" t="s">
        <v>309</v>
      </c>
      <c r="E31" s="49">
        <f ca="1">E32+E33</f>
        <v>68004330</v>
      </c>
      <c r="F31" s="49">
        <f t="shared" ref="F31:AB31" ca="1" si="37">F32+F33</f>
        <v>68004330</v>
      </c>
      <c r="G31" s="49">
        <f t="shared" si="37"/>
        <v>0</v>
      </c>
      <c r="H31" s="49">
        <f t="shared" si="37"/>
        <v>0</v>
      </c>
      <c r="I31" s="49">
        <f t="shared" si="37"/>
        <v>0</v>
      </c>
      <c r="J31" s="49">
        <f t="shared" si="37"/>
        <v>0</v>
      </c>
      <c r="K31" s="49">
        <f t="shared" si="37"/>
        <v>0</v>
      </c>
      <c r="L31" s="49">
        <f t="shared" si="37"/>
        <v>0</v>
      </c>
      <c r="M31" s="49">
        <f t="shared" si="37"/>
        <v>0</v>
      </c>
      <c r="N31" s="49">
        <f t="shared" si="37"/>
        <v>2175666</v>
      </c>
      <c r="O31" s="49">
        <f t="shared" si="37"/>
        <v>0</v>
      </c>
      <c r="P31" s="49">
        <f t="shared" si="37"/>
        <v>0</v>
      </c>
      <c r="Q31" s="49">
        <f t="shared" si="37"/>
        <v>0</v>
      </c>
      <c r="R31" s="49">
        <f t="shared" si="37"/>
        <v>0</v>
      </c>
      <c r="S31" s="49">
        <f t="shared" si="37"/>
        <v>0</v>
      </c>
      <c r="T31" s="49">
        <f t="shared" si="37"/>
        <v>0</v>
      </c>
      <c r="U31" s="49">
        <f t="shared" si="37"/>
        <v>0</v>
      </c>
      <c r="V31" s="49">
        <f t="shared" si="37"/>
        <v>0</v>
      </c>
      <c r="W31" s="49">
        <f t="shared" ca="1" si="37"/>
        <v>5693665</v>
      </c>
      <c r="X31" s="49">
        <f t="shared" ca="1" si="37"/>
        <v>6118977</v>
      </c>
      <c r="Y31" s="49">
        <f t="shared" ca="1" si="37"/>
        <v>139210005</v>
      </c>
      <c r="Z31" s="49">
        <f t="shared" ca="1" si="37"/>
        <v>148226193</v>
      </c>
      <c r="AA31" s="49">
        <f t="shared" ca="1" si="37"/>
        <v>212908000</v>
      </c>
      <c r="AB31" s="49">
        <f t="shared" ca="1" si="37"/>
        <v>218406189</v>
      </c>
      <c r="AC31" s="49">
        <f ca="1">AC32+AC33</f>
        <v>224525166</v>
      </c>
      <c r="AD31" s="33"/>
      <c r="AE31" s="33"/>
    </row>
    <row r="32" spans="1:33" s="34" customFormat="1" x14ac:dyDescent="0.25">
      <c r="A32" s="77"/>
      <c r="B32" s="1"/>
      <c r="C32" s="1" t="s">
        <v>93</v>
      </c>
      <c r="D32" s="35" t="s">
        <v>98</v>
      </c>
      <c r="E32" s="83">
        <f ca="1">'4 ESZI bev'!D16</f>
        <v>4191000</v>
      </c>
      <c r="F32" s="83">
        <f ca="1">'4 ESZI bev'!E16</f>
        <v>4191000</v>
      </c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>
        <f ca="1">'4 ESZI bev'!R16</f>
        <v>5693665</v>
      </c>
      <c r="X32" s="83">
        <f ca="1">'4 ESZI bev'!S16</f>
        <v>6118977</v>
      </c>
      <c r="Y32" s="133">
        <f ca="1">'4 ESZI bev'!P16</f>
        <v>18134165</v>
      </c>
      <c r="Z32" s="133">
        <f ca="1">'4 ESZI bev'!Q16</f>
        <v>19249134</v>
      </c>
      <c r="AA32" s="131">
        <f ca="1">E32+G32+I32+M32+O32+S32+Y32+W32</f>
        <v>28018830</v>
      </c>
      <c r="AB32" s="131">
        <f ca="1">F32+H32+J32+N32+P32+T32+Z32</f>
        <v>23440134</v>
      </c>
      <c r="AC32" s="131">
        <f ca="1">F32+H32+J32+N32+P32+T32+Z32+X32</f>
        <v>29559111</v>
      </c>
      <c r="AD32" s="33"/>
      <c r="AE32" s="33"/>
    </row>
    <row r="33" spans="1:31" x14ac:dyDescent="0.25">
      <c r="A33" s="77"/>
      <c r="B33" s="1"/>
      <c r="C33" s="1" t="s">
        <v>94</v>
      </c>
      <c r="D33" s="35" t="s">
        <v>99</v>
      </c>
      <c r="E33" s="83">
        <f>'4 ESZI bev'!D17</f>
        <v>63813330</v>
      </c>
      <c r="F33" s="83">
        <f>'4 ESZI bev'!E17</f>
        <v>63813330</v>
      </c>
      <c r="G33" s="83"/>
      <c r="H33" s="83"/>
      <c r="I33" s="83"/>
      <c r="J33" s="83"/>
      <c r="K33" s="83"/>
      <c r="L33" s="83"/>
      <c r="M33" s="83"/>
      <c r="N33" s="83">
        <f>'4 ESZI bev'!I14</f>
        <v>2175666</v>
      </c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133">
        <f>'4 ESZI bev'!P17</f>
        <v>121075840</v>
      </c>
      <c r="Z33" s="133">
        <f>'4 ESZI bev'!Q17</f>
        <v>128977059</v>
      </c>
      <c r="AA33" s="131">
        <f>E33+G33+I33+M33+O33+S33+Y33</f>
        <v>184889170</v>
      </c>
      <c r="AB33" s="131">
        <f>F33+H33+J33+N33+P33+T33+Z33</f>
        <v>194966055</v>
      </c>
      <c r="AC33" s="131">
        <f>F33+H33+J33+N33+P33+T33+Z33+X33</f>
        <v>194966055</v>
      </c>
      <c r="AD33" s="33"/>
      <c r="AE33" s="33"/>
    </row>
    <row r="34" spans="1:31" ht="15.75" x14ac:dyDescent="0.25">
      <c r="A34" s="77"/>
      <c r="B34" s="1"/>
      <c r="C34" s="31"/>
      <c r="D34" s="30" t="s">
        <v>100</v>
      </c>
      <c r="E34" s="49">
        <f ca="1">E24+E28+E31+E20</f>
        <v>105163694</v>
      </c>
      <c r="F34" s="49">
        <f t="shared" ref="F34:AC34" ca="1" si="38">F24+F28+F31+F20</f>
        <v>105163694</v>
      </c>
      <c r="G34" s="49">
        <f t="shared" si="38"/>
        <v>79500000</v>
      </c>
      <c r="H34" s="49">
        <f t="shared" si="38"/>
        <v>79500000</v>
      </c>
      <c r="I34" s="49">
        <f t="shared" si="38"/>
        <v>555543086</v>
      </c>
      <c r="J34" s="49">
        <f t="shared" si="38"/>
        <v>564604667</v>
      </c>
      <c r="K34" s="49">
        <f t="shared" si="38"/>
        <v>0</v>
      </c>
      <c r="L34" s="49">
        <f t="shared" si="38"/>
        <v>0</v>
      </c>
      <c r="M34" s="49">
        <f t="shared" si="38"/>
        <v>15725600</v>
      </c>
      <c r="N34" s="49">
        <f>N24+N28+N31+N20</f>
        <v>71113649</v>
      </c>
      <c r="O34" s="49">
        <f t="shared" si="38"/>
        <v>0</v>
      </c>
      <c r="P34" s="49">
        <f t="shared" si="38"/>
        <v>0</v>
      </c>
      <c r="Q34" s="49">
        <f t="shared" si="38"/>
        <v>9590083</v>
      </c>
      <c r="R34" s="49">
        <f t="shared" si="38"/>
        <v>9590083</v>
      </c>
      <c r="S34" s="49">
        <f t="shared" si="38"/>
        <v>600000</v>
      </c>
      <c r="T34" s="49">
        <f t="shared" si="38"/>
        <v>600000</v>
      </c>
      <c r="U34" s="49">
        <f t="shared" si="38"/>
        <v>0</v>
      </c>
      <c r="V34" s="49">
        <f t="shared" si="38"/>
        <v>0</v>
      </c>
      <c r="W34" s="49">
        <f t="shared" ca="1" si="38"/>
        <v>254375436</v>
      </c>
      <c r="X34" s="49">
        <f t="shared" ca="1" si="38"/>
        <v>225564982</v>
      </c>
      <c r="Y34" s="49">
        <f t="shared" ca="1" si="38"/>
        <v>419434359</v>
      </c>
      <c r="Z34" s="49">
        <f t="shared" ca="1" si="38"/>
        <v>428495940</v>
      </c>
      <c r="AA34" s="49">
        <f ca="1">AA24+AA28+AA31+AA20</f>
        <v>1439932258</v>
      </c>
      <c r="AB34" s="49">
        <f t="shared" ca="1" si="38"/>
        <v>499139486</v>
      </c>
      <c r="AC34" s="49">
        <f t="shared" ca="1" si="38"/>
        <v>1484633015</v>
      </c>
      <c r="AD34" s="145"/>
    </row>
    <row r="35" spans="1:31" ht="15.75" x14ac:dyDescent="0.25">
      <c r="A35" s="77"/>
      <c r="B35" s="1"/>
      <c r="C35" s="31"/>
      <c r="D35" s="30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134"/>
      <c r="Z35" s="134"/>
      <c r="AA35" s="134"/>
      <c r="AB35" s="135"/>
      <c r="AC35" s="129"/>
      <c r="AD35" s="136"/>
    </row>
    <row r="36" spans="1:31" x14ac:dyDescent="0.25">
      <c r="A36" s="77"/>
      <c r="B36" s="1"/>
      <c r="C36" s="28"/>
      <c r="D36" s="28" t="s">
        <v>101</v>
      </c>
      <c r="E36" s="82">
        <f ca="1">E21+E25+E29+E32</f>
        <v>12058650</v>
      </c>
      <c r="F36" s="82">
        <f t="shared" ref="F36:AC36" ca="1" si="39">F21+F25+F29+F32</f>
        <v>12058650</v>
      </c>
      <c r="G36" s="82">
        <f t="shared" si="39"/>
        <v>79500000</v>
      </c>
      <c r="H36" s="82">
        <f t="shared" si="39"/>
        <v>79500000</v>
      </c>
      <c r="I36" s="82">
        <f t="shared" si="39"/>
        <v>555543086</v>
      </c>
      <c r="J36" s="82">
        <f t="shared" si="39"/>
        <v>564604667</v>
      </c>
      <c r="K36" s="82">
        <f t="shared" si="39"/>
        <v>0</v>
      </c>
      <c r="L36" s="82">
        <f t="shared" si="39"/>
        <v>0</v>
      </c>
      <c r="M36" s="82">
        <f t="shared" si="39"/>
        <v>15485600</v>
      </c>
      <c r="N36" s="82">
        <f t="shared" si="39"/>
        <v>15485600</v>
      </c>
      <c r="O36" s="82">
        <f t="shared" si="39"/>
        <v>0</v>
      </c>
      <c r="P36" s="82">
        <f t="shared" si="39"/>
        <v>0</v>
      </c>
      <c r="Q36" s="82">
        <f t="shared" si="39"/>
        <v>9590083</v>
      </c>
      <c r="R36" s="82">
        <f t="shared" si="39"/>
        <v>9590083</v>
      </c>
      <c r="S36" s="82">
        <f t="shared" si="39"/>
        <v>0</v>
      </c>
      <c r="T36" s="82">
        <f t="shared" si="39"/>
        <v>0</v>
      </c>
      <c r="U36" s="82">
        <f t="shared" si="39"/>
        <v>0</v>
      </c>
      <c r="V36" s="82">
        <f t="shared" si="39"/>
        <v>0</v>
      </c>
      <c r="W36" s="82">
        <f t="shared" ca="1" si="39"/>
        <v>254375436</v>
      </c>
      <c r="X36" s="82">
        <f t="shared" ca="1" si="39"/>
        <v>225564982</v>
      </c>
      <c r="Y36" s="82">
        <f t="shared" ca="1" si="39"/>
        <v>298358519</v>
      </c>
      <c r="Z36" s="82">
        <f t="shared" ca="1" si="39"/>
        <v>299518881</v>
      </c>
      <c r="AA36" s="82">
        <f ca="1">AA21+AA25+AA29+AA32</f>
        <v>1224911374</v>
      </c>
      <c r="AB36" s="82">
        <f t="shared" ca="1" si="39"/>
        <v>304173431</v>
      </c>
      <c r="AC36" s="82">
        <f t="shared" ca="1" si="39"/>
        <v>1206322863</v>
      </c>
    </row>
    <row r="37" spans="1:31" s="34" customFormat="1" x14ac:dyDescent="0.25">
      <c r="A37" s="77"/>
      <c r="B37" s="1"/>
      <c r="C37" s="28"/>
      <c r="D37" s="28" t="s">
        <v>102</v>
      </c>
      <c r="E37" s="82">
        <f>E23+E26+E30+E33</f>
        <v>93105044</v>
      </c>
      <c r="F37" s="82">
        <f t="shared" ref="F37:AC37" si="40">F23+F26+F30+F33</f>
        <v>93105044</v>
      </c>
      <c r="G37" s="82">
        <f t="shared" si="40"/>
        <v>0</v>
      </c>
      <c r="H37" s="82">
        <f t="shared" si="40"/>
        <v>0</v>
      </c>
      <c r="I37" s="82">
        <f t="shared" si="40"/>
        <v>0</v>
      </c>
      <c r="J37" s="82">
        <f t="shared" si="40"/>
        <v>0</v>
      </c>
      <c r="K37" s="82">
        <f t="shared" si="40"/>
        <v>0</v>
      </c>
      <c r="L37" s="82">
        <f t="shared" si="40"/>
        <v>0</v>
      </c>
      <c r="M37" s="82">
        <f t="shared" si="40"/>
        <v>240000</v>
      </c>
      <c r="N37" s="82">
        <f t="shared" si="40"/>
        <v>55628049</v>
      </c>
      <c r="O37" s="82">
        <f t="shared" si="40"/>
        <v>0</v>
      </c>
      <c r="P37" s="82">
        <f t="shared" si="40"/>
        <v>0</v>
      </c>
      <c r="Q37" s="82">
        <f t="shared" si="40"/>
        <v>0</v>
      </c>
      <c r="R37" s="82">
        <f t="shared" si="40"/>
        <v>0</v>
      </c>
      <c r="S37" s="82">
        <f t="shared" si="40"/>
        <v>600000</v>
      </c>
      <c r="T37" s="82">
        <f t="shared" si="40"/>
        <v>600000</v>
      </c>
      <c r="U37" s="82">
        <f t="shared" si="40"/>
        <v>0</v>
      </c>
      <c r="V37" s="82">
        <f t="shared" si="40"/>
        <v>0</v>
      </c>
      <c r="W37" s="82">
        <f t="shared" si="40"/>
        <v>0</v>
      </c>
      <c r="X37" s="82">
        <f t="shared" si="40"/>
        <v>0</v>
      </c>
      <c r="Y37" s="82">
        <f t="shared" si="40"/>
        <v>121075840</v>
      </c>
      <c r="Z37" s="82">
        <f t="shared" si="40"/>
        <v>128977059</v>
      </c>
      <c r="AA37" s="82">
        <f t="shared" si="40"/>
        <v>215020884</v>
      </c>
      <c r="AB37" s="82">
        <f t="shared" si="40"/>
        <v>194966055</v>
      </c>
      <c r="AC37" s="82">
        <f t="shared" si="40"/>
        <v>278310152</v>
      </c>
    </row>
    <row r="38" spans="1:31" x14ac:dyDescent="0.25">
      <c r="A38" s="77"/>
      <c r="B38" s="1"/>
      <c r="C38" s="28"/>
      <c r="D38" s="28" t="s">
        <v>141</v>
      </c>
      <c r="E38" s="82">
        <f>E22</f>
        <v>0</v>
      </c>
      <c r="F38" s="82">
        <f t="shared" ref="F38:AC38" si="41">F22</f>
        <v>0</v>
      </c>
      <c r="G38" s="82">
        <f t="shared" si="41"/>
        <v>0</v>
      </c>
      <c r="H38" s="82">
        <f t="shared" si="41"/>
        <v>0</v>
      </c>
      <c r="I38" s="82">
        <f t="shared" si="41"/>
        <v>0</v>
      </c>
      <c r="J38" s="82">
        <f t="shared" si="41"/>
        <v>0</v>
      </c>
      <c r="K38" s="82">
        <f t="shared" si="41"/>
        <v>0</v>
      </c>
      <c r="L38" s="82">
        <f t="shared" si="41"/>
        <v>0</v>
      </c>
      <c r="M38" s="82">
        <f t="shared" si="41"/>
        <v>0</v>
      </c>
      <c r="N38" s="82">
        <f t="shared" si="41"/>
        <v>0</v>
      </c>
      <c r="O38" s="82">
        <f t="shared" si="41"/>
        <v>0</v>
      </c>
      <c r="P38" s="82">
        <f t="shared" si="41"/>
        <v>0</v>
      </c>
      <c r="Q38" s="82">
        <f t="shared" si="41"/>
        <v>0</v>
      </c>
      <c r="R38" s="82">
        <f t="shared" si="41"/>
        <v>0</v>
      </c>
      <c r="S38" s="82">
        <f t="shared" si="41"/>
        <v>0</v>
      </c>
      <c r="T38" s="82">
        <f t="shared" si="41"/>
        <v>0</v>
      </c>
      <c r="U38" s="82">
        <f t="shared" si="41"/>
        <v>0</v>
      </c>
      <c r="V38" s="82">
        <f t="shared" si="41"/>
        <v>0</v>
      </c>
      <c r="W38" s="82">
        <f t="shared" si="41"/>
        <v>0</v>
      </c>
      <c r="X38" s="82">
        <f t="shared" si="41"/>
        <v>0</v>
      </c>
      <c r="Y38" s="82">
        <f t="shared" si="41"/>
        <v>0</v>
      </c>
      <c r="Z38" s="82">
        <f t="shared" si="41"/>
        <v>0</v>
      </c>
      <c r="AA38" s="82">
        <f t="shared" si="41"/>
        <v>0</v>
      </c>
      <c r="AB38" s="82">
        <f t="shared" si="41"/>
        <v>5525</v>
      </c>
      <c r="AC38" s="82">
        <f t="shared" si="41"/>
        <v>0</v>
      </c>
    </row>
    <row r="39" spans="1:31" x14ac:dyDescent="0.25">
      <c r="A39" s="77"/>
      <c r="B39" s="1"/>
      <c r="C39" s="36"/>
      <c r="D39" s="36" t="s">
        <v>103</v>
      </c>
      <c r="E39" s="85">
        <f ca="1">SUM(E36:E38)</f>
        <v>105163694</v>
      </c>
      <c r="F39" s="85">
        <f t="shared" ref="F39:AC39" ca="1" si="42">SUM(F36:F38)</f>
        <v>105163694</v>
      </c>
      <c r="G39" s="85">
        <f t="shared" si="42"/>
        <v>79500000</v>
      </c>
      <c r="H39" s="85">
        <f t="shared" si="42"/>
        <v>79500000</v>
      </c>
      <c r="I39" s="85">
        <f t="shared" si="42"/>
        <v>555543086</v>
      </c>
      <c r="J39" s="85">
        <f t="shared" si="42"/>
        <v>564604667</v>
      </c>
      <c r="K39" s="85">
        <f t="shared" si="42"/>
        <v>0</v>
      </c>
      <c r="L39" s="85">
        <f t="shared" si="42"/>
        <v>0</v>
      </c>
      <c r="M39" s="85">
        <f t="shared" si="42"/>
        <v>15725600</v>
      </c>
      <c r="N39" s="85">
        <f t="shared" si="42"/>
        <v>71113649</v>
      </c>
      <c r="O39" s="85">
        <f t="shared" si="42"/>
        <v>0</v>
      </c>
      <c r="P39" s="85">
        <f t="shared" si="42"/>
        <v>0</v>
      </c>
      <c r="Q39" s="85">
        <f t="shared" si="42"/>
        <v>9590083</v>
      </c>
      <c r="R39" s="85">
        <f t="shared" si="42"/>
        <v>9590083</v>
      </c>
      <c r="S39" s="85">
        <f t="shared" si="42"/>
        <v>600000</v>
      </c>
      <c r="T39" s="85">
        <f t="shared" si="42"/>
        <v>600000</v>
      </c>
      <c r="U39" s="85">
        <f t="shared" si="42"/>
        <v>0</v>
      </c>
      <c r="V39" s="85">
        <f t="shared" si="42"/>
        <v>0</v>
      </c>
      <c r="W39" s="85">
        <f t="shared" ca="1" si="42"/>
        <v>254375436</v>
      </c>
      <c r="X39" s="85">
        <f t="shared" ca="1" si="42"/>
        <v>225564982</v>
      </c>
      <c r="Y39" s="85">
        <f t="shared" ca="1" si="42"/>
        <v>419434359</v>
      </c>
      <c r="Z39" s="85">
        <f t="shared" ca="1" si="42"/>
        <v>428495940</v>
      </c>
      <c r="AA39" s="85">
        <f t="shared" ca="1" si="42"/>
        <v>1439932258</v>
      </c>
      <c r="AB39" s="85">
        <f t="shared" ca="1" si="42"/>
        <v>499145011</v>
      </c>
      <c r="AC39" s="85">
        <f t="shared" ca="1" si="42"/>
        <v>1484633015</v>
      </c>
    </row>
    <row r="40" spans="1:31" x14ac:dyDescent="0.25">
      <c r="AD40" s="149"/>
    </row>
    <row r="41" spans="1:31" x14ac:dyDescent="0.25">
      <c r="E41" s="136"/>
      <c r="G41" s="149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45"/>
      <c r="Z41" s="136"/>
      <c r="AA41" s="136"/>
      <c r="AC41" s="136"/>
    </row>
    <row r="42" spans="1:31" x14ac:dyDescent="0.25">
      <c r="G42" s="148"/>
      <c r="Y42" s="147"/>
      <c r="AA42" s="136"/>
      <c r="AD42" s="136"/>
    </row>
    <row r="43" spans="1:31" x14ac:dyDescent="0.25">
      <c r="AC43" s="136"/>
      <c r="AD43" s="136"/>
    </row>
  </sheetData>
  <mergeCells count="25">
    <mergeCell ref="Q5:R5"/>
    <mergeCell ref="Q4:R4"/>
    <mergeCell ref="D3:AC3"/>
    <mergeCell ref="E5:F5"/>
    <mergeCell ref="G5:H5"/>
    <mergeCell ref="I5:J5"/>
    <mergeCell ref="M5:N5"/>
    <mergeCell ref="O5:P5"/>
    <mergeCell ref="S5:T5"/>
    <mergeCell ref="Y5:Z5"/>
    <mergeCell ref="AA5:AC5"/>
    <mergeCell ref="K5:L5"/>
    <mergeCell ref="W5:X5"/>
    <mergeCell ref="U5:V5"/>
    <mergeCell ref="E4:F4"/>
    <mergeCell ref="G4:H4"/>
    <mergeCell ref="I4:J4"/>
    <mergeCell ref="W4:X4"/>
    <mergeCell ref="Y4:Z4"/>
    <mergeCell ref="AA4:AC4"/>
    <mergeCell ref="K4:L4"/>
    <mergeCell ref="M4:N4"/>
    <mergeCell ref="O4:P4"/>
    <mergeCell ref="S4:T4"/>
    <mergeCell ref="U4:V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6" fitToHeight="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12977-34E5-4D26-BCAC-975CB8FD6AE5}">
  <sheetPr>
    <tabColor rgb="FFFFC000"/>
  </sheetPr>
  <dimension ref="A1:AW60"/>
  <sheetViews>
    <sheetView zoomScaleNormal="100" workbookViewId="0">
      <selection activeCell="A4" sqref="A4"/>
    </sheetView>
  </sheetViews>
  <sheetFormatPr defaultRowHeight="15" x14ac:dyDescent="0.25"/>
  <cols>
    <col min="1" max="1" width="4.7109375" style="510" customWidth="1"/>
    <col min="2" max="2" width="34.85546875" style="542" customWidth="1"/>
    <col min="3" max="3" width="5.140625" style="510" customWidth="1"/>
    <col min="4" max="4" width="12" style="536" customWidth="1"/>
    <col min="5" max="6" width="12.140625" style="536" customWidth="1"/>
    <col min="7" max="7" width="12.28515625" style="536" customWidth="1"/>
    <col min="8" max="8" width="9.140625" style="510"/>
    <col min="9" max="9" width="34" style="510" customWidth="1"/>
    <col min="10" max="10" width="11.7109375" style="510" customWidth="1"/>
    <col min="11" max="16384" width="9.140625" style="510"/>
  </cols>
  <sheetData>
    <row r="1" spans="1:49" s="218" customFormat="1" ht="27.75" customHeight="1" x14ac:dyDescent="0.2">
      <c r="A1" s="812"/>
      <c r="B1" s="813"/>
      <c r="C1" s="813"/>
      <c r="D1" s="813"/>
      <c r="E1" s="813"/>
      <c r="F1" s="813"/>
      <c r="G1" s="813"/>
      <c r="H1" s="216"/>
      <c r="I1" s="216"/>
      <c r="J1" s="216"/>
      <c r="K1" s="216"/>
      <c r="L1" s="216"/>
      <c r="M1" s="216"/>
      <c r="N1" s="216"/>
      <c r="O1" s="346"/>
      <c r="P1" s="346"/>
      <c r="Q1" s="346"/>
      <c r="R1" s="346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  <c r="AO1" s="347"/>
      <c r="AP1" s="347"/>
      <c r="AQ1" s="347"/>
      <c r="AR1" s="347"/>
      <c r="AS1" s="347"/>
      <c r="AT1" s="347"/>
      <c r="AU1" s="347"/>
      <c r="AV1" s="347"/>
      <c r="AW1" s="347"/>
    </row>
    <row r="2" spans="1:49" s="218" customFormat="1" ht="12" x14ac:dyDescent="0.2">
      <c r="A2" s="219"/>
      <c r="B2" s="220"/>
      <c r="C2" s="220"/>
      <c r="D2" s="220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347"/>
      <c r="AN2" s="347"/>
      <c r="AO2" s="347"/>
      <c r="AP2" s="347"/>
      <c r="AQ2" s="347"/>
      <c r="AR2" s="347"/>
      <c r="AS2" s="347"/>
      <c r="AT2" s="347"/>
      <c r="AU2" s="347"/>
      <c r="AV2" s="347"/>
      <c r="AW2" s="347"/>
    </row>
    <row r="3" spans="1:49" s="218" customFormat="1" ht="28.5" customHeight="1" x14ac:dyDescent="0.2">
      <c r="A3" s="814" t="s">
        <v>601</v>
      </c>
      <c r="B3" s="815"/>
      <c r="C3" s="815"/>
      <c r="D3" s="815"/>
      <c r="E3" s="815"/>
      <c r="F3" s="815"/>
      <c r="G3" s="815"/>
      <c r="H3" s="216"/>
      <c r="I3" s="216"/>
      <c r="J3" s="216"/>
      <c r="K3" s="216"/>
      <c r="L3" s="216"/>
      <c r="M3" s="216"/>
      <c r="N3" s="216"/>
      <c r="O3" s="346"/>
      <c r="P3" s="346"/>
      <c r="Q3" s="346"/>
      <c r="R3" s="346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7"/>
      <c r="AK3" s="347"/>
      <c r="AL3" s="347"/>
      <c r="AM3" s="347"/>
      <c r="AN3" s="347"/>
      <c r="AO3" s="347"/>
      <c r="AP3" s="347"/>
      <c r="AQ3" s="347"/>
      <c r="AR3" s="347"/>
      <c r="AS3" s="347"/>
      <c r="AT3" s="347"/>
      <c r="AU3" s="347"/>
      <c r="AV3" s="347"/>
      <c r="AW3" s="347"/>
    </row>
    <row r="4" spans="1:49" s="218" customFormat="1" ht="31.5" customHeight="1" x14ac:dyDescent="0.2">
      <c r="A4" s="223"/>
      <c r="B4" s="828" t="s">
        <v>581</v>
      </c>
      <c r="C4" s="828"/>
      <c r="D4" s="828"/>
      <c r="E4" s="828"/>
      <c r="F4" s="828"/>
      <c r="G4" s="828"/>
      <c r="H4" s="350"/>
      <c r="I4" s="350"/>
      <c r="J4" s="351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47"/>
      <c r="AQ4" s="347"/>
      <c r="AR4" s="347"/>
      <c r="AS4" s="347"/>
      <c r="AT4" s="347"/>
      <c r="AU4" s="347"/>
      <c r="AV4" s="347"/>
      <c r="AW4" s="347"/>
    </row>
    <row r="5" spans="1:49" s="218" customFormat="1" ht="6.75" customHeight="1" x14ac:dyDescent="0.2">
      <c r="A5" s="656"/>
      <c r="B5" s="657"/>
      <c r="C5" s="657"/>
      <c r="D5" s="657"/>
      <c r="E5" s="658"/>
      <c r="F5" s="658"/>
      <c r="G5" s="658"/>
      <c r="H5" s="348"/>
      <c r="I5" s="348"/>
      <c r="J5" s="348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  <c r="AQ5" s="347"/>
      <c r="AR5" s="347"/>
      <c r="AS5" s="347"/>
      <c r="AT5" s="347"/>
      <c r="AU5" s="347"/>
      <c r="AV5" s="347"/>
      <c r="AW5" s="347"/>
    </row>
    <row r="6" spans="1:49" s="218" customFormat="1" ht="22.5" customHeight="1" x14ac:dyDescent="0.25">
      <c r="A6" s="821" t="s">
        <v>435</v>
      </c>
      <c r="B6" s="822"/>
      <c r="C6" s="822"/>
      <c r="D6" s="822"/>
      <c r="E6" s="822"/>
      <c r="F6" s="822"/>
      <c r="G6" s="822"/>
      <c r="H6" s="227"/>
      <c r="I6" s="227"/>
      <c r="J6" s="227"/>
      <c r="K6" s="227"/>
      <c r="L6" s="227"/>
      <c r="M6" s="227"/>
      <c r="N6" s="227"/>
      <c r="O6" s="353"/>
      <c r="P6" s="353"/>
      <c r="Q6" s="353"/>
      <c r="R6" s="353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  <c r="AN6" s="347"/>
      <c r="AO6" s="347"/>
      <c r="AP6" s="347"/>
      <c r="AQ6" s="347"/>
      <c r="AR6" s="347"/>
      <c r="AS6" s="347"/>
      <c r="AT6" s="347"/>
      <c r="AU6" s="347"/>
      <c r="AV6" s="347"/>
      <c r="AW6" s="347"/>
    </row>
    <row r="7" spans="1:49" s="218" customFormat="1" ht="15.75" customHeight="1" thickBot="1" x14ac:dyDescent="0.25">
      <c r="A7" s="820" t="s">
        <v>339</v>
      </c>
      <c r="B7" s="820"/>
      <c r="C7" s="820"/>
      <c r="D7" s="820"/>
      <c r="E7" s="820"/>
      <c r="F7" s="820"/>
      <c r="G7" s="820"/>
      <c r="H7" s="217"/>
      <c r="I7" s="217"/>
      <c r="J7" s="217"/>
      <c r="K7" s="217"/>
      <c r="L7" s="217"/>
      <c r="M7" s="217"/>
      <c r="N7" s="217"/>
      <c r="O7" s="346"/>
      <c r="P7" s="346"/>
      <c r="Q7" s="346"/>
      <c r="R7" s="346"/>
      <c r="S7" s="347"/>
      <c r="T7" s="347"/>
      <c r="U7" s="347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47"/>
      <c r="AK7" s="347"/>
      <c r="AL7" s="347"/>
      <c r="AM7" s="347"/>
      <c r="AN7" s="347"/>
      <c r="AO7" s="347"/>
      <c r="AP7" s="347"/>
      <c r="AQ7" s="347"/>
      <c r="AR7" s="347"/>
      <c r="AS7" s="347"/>
      <c r="AT7" s="347"/>
      <c r="AU7" s="347"/>
      <c r="AV7" s="347"/>
      <c r="AW7" s="347"/>
    </row>
    <row r="8" spans="1:49" ht="60" x14ac:dyDescent="0.25">
      <c r="A8" s="506"/>
      <c r="B8" s="507"/>
      <c r="C8" s="508" t="s">
        <v>436</v>
      </c>
      <c r="D8" s="508" t="s">
        <v>539</v>
      </c>
      <c r="E8" s="508" t="s">
        <v>437</v>
      </c>
      <c r="F8" s="508" t="s">
        <v>438</v>
      </c>
      <c r="G8" s="509" t="s">
        <v>538</v>
      </c>
    </row>
    <row r="9" spans="1:49" x14ac:dyDescent="0.25">
      <c r="A9" s="511" t="s">
        <v>439</v>
      </c>
      <c r="B9" s="512"/>
      <c r="C9" s="512"/>
      <c r="D9" s="513"/>
      <c r="E9" s="513"/>
      <c r="F9" s="513"/>
      <c r="G9" s="514"/>
      <c r="J9" s="515"/>
    </row>
    <row r="10" spans="1:49" x14ac:dyDescent="0.25">
      <c r="A10" s="516" t="s">
        <v>1</v>
      </c>
      <c r="B10" s="517" t="s">
        <v>73</v>
      </c>
      <c r="C10" s="518" t="s">
        <v>440</v>
      </c>
      <c r="D10" s="649">
        <f>'1.melléklet.Önkormányzat'!D25</f>
        <v>79500000</v>
      </c>
      <c r="E10" s="649">
        <f>(D10*1.05)</f>
        <v>83475000</v>
      </c>
      <c r="F10" s="649">
        <f>(E10*1.05)</f>
        <v>87648750</v>
      </c>
      <c r="G10" s="242">
        <f>F10*1.05</f>
        <v>92031187.5</v>
      </c>
      <c r="J10" s="519"/>
    </row>
    <row r="11" spans="1:49" x14ac:dyDescent="0.25">
      <c r="A11" s="516" t="s">
        <v>3</v>
      </c>
      <c r="B11" s="517" t="s">
        <v>381</v>
      </c>
      <c r="C11" s="518" t="s">
        <v>441</v>
      </c>
      <c r="D11" s="649">
        <f ca="1">'1.melléklet.Önkormányzat'!D32</f>
        <v>105163694</v>
      </c>
      <c r="E11" s="649">
        <f t="shared" ref="E11:F21" ca="1" si="0">(D11*1.05)</f>
        <v>110421878.7</v>
      </c>
      <c r="F11" s="649">
        <f t="shared" ca="1" si="0"/>
        <v>115942972.63500001</v>
      </c>
      <c r="G11" s="242">
        <f t="shared" ref="G11:G37" ca="1" si="1">F11*1.05</f>
        <v>121740121.26675001</v>
      </c>
      <c r="J11" s="519"/>
    </row>
    <row r="12" spans="1:49" ht="23.25" customHeight="1" x14ac:dyDescent="0.25">
      <c r="A12" s="516" t="s">
        <v>4</v>
      </c>
      <c r="B12" s="517" t="s">
        <v>382</v>
      </c>
      <c r="C12" s="518" t="s">
        <v>442</v>
      </c>
      <c r="D12" s="649">
        <f>'1.melléklet.Önkormányzat'!D34</f>
        <v>600000</v>
      </c>
      <c r="E12" s="649">
        <f t="shared" si="0"/>
        <v>630000</v>
      </c>
      <c r="F12" s="649">
        <f t="shared" si="0"/>
        <v>661500</v>
      </c>
      <c r="G12" s="242">
        <f t="shared" si="1"/>
        <v>694575</v>
      </c>
      <c r="J12" s="519"/>
    </row>
    <row r="13" spans="1:49" ht="24" x14ac:dyDescent="0.25">
      <c r="A13" s="516" t="s">
        <v>6</v>
      </c>
      <c r="B13" s="517" t="s">
        <v>87</v>
      </c>
      <c r="C13" s="518" t="s">
        <v>540</v>
      </c>
      <c r="D13" s="649">
        <f>'1.melléklet.Önkormányzat'!D9+'1.melléklet.Önkormányzat'!D17</f>
        <v>635718316</v>
      </c>
      <c r="E13" s="649">
        <f t="shared" si="0"/>
        <v>667504231.80000007</v>
      </c>
      <c r="F13" s="649">
        <f t="shared" si="0"/>
        <v>700879443.3900001</v>
      </c>
      <c r="G13" s="242">
        <f t="shared" si="1"/>
        <v>735923415.5595001</v>
      </c>
      <c r="J13" s="519"/>
    </row>
    <row r="14" spans="1:49" x14ac:dyDescent="0.25">
      <c r="A14" s="516" t="s">
        <v>8</v>
      </c>
      <c r="B14" s="517" t="s">
        <v>23</v>
      </c>
      <c r="C14" s="518" t="s">
        <v>443</v>
      </c>
      <c r="D14" s="649"/>
      <c r="E14" s="649">
        <f t="shared" si="0"/>
        <v>0</v>
      </c>
      <c r="F14" s="649">
        <f t="shared" si="0"/>
        <v>0</v>
      </c>
      <c r="G14" s="242">
        <f t="shared" si="1"/>
        <v>0</v>
      </c>
      <c r="J14" s="519"/>
    </row>
    <row r="15" spans="1:49" ht="24" x14ac:dyDescent="0.25">
      <c r="A15" s="516" t="s">
        <v>22</v>
      </c>
      <c r="B15" s="517" t="s">
        <v>389</v>
      </c>
      <c r="C15" s="518" t="s">
        <v>444</v>
      </c>
      <c r="D15" s="649">
        <f>'1.melléklet.Önkormányzat'!D33</f>
        <v>9590083</v>
      </c>
      <c r="E15" s="649">
        <f t="shared" si="0"/>
        <v>10069587.15</v>
      </c>
      <c r="F15" s="649">
        <f t="shared" si="0"/>
        <v>10573066.5075</v>
      </c>
      <c r="G15" s="242">
        <f t="shared" si="1"/>
        <v>11101719.832875</v>
      </c>
      <c r="J15" s="519"/>
    </row>
    <row r="16" spans="1:49" ht="24" x14ac:dyDescent="0.25">
      <c r="A16" s="516" t="s">
        <v>24</v>
      </c>
      <c r="B16" s="517" t="s">
        <v>88</v>
      </c>
      <c r="C16" s="518" t="s">
        <v>445</v>
      </c>
      <c r="D16" s="649"/>
      <c r="E16" s="649">
        <f t="shared" si="0"/>
        <v>0</v>
      </c>
      <c r="F16" s="649">
        <f t="shared" si="0"/>
        <v>0</v>
      </c>
      <c r="G16" s="242">
        <f t="shared" si="1"/>
        <v>0</v>
      </c>
      <c r="J16" s="519"/>
    </row>
    <row r="17" spans="1:10" ht="24.75" x14ac:dyDescent="0.25">
      <c r="A17" s="516" t="s">
        <v>25</v>
      </c>
      <c r="B17" s="517" t="s">
        <v>152</v>
      </c>
      <c r="C17" s="518" t="s">
        <v>446</v>
      </c>
      <c r="D17" s="649">
        <f ca="1">'1.melléklet.Önkormányzat'!D38</f>
        <v>225564982</v>
      </c>
      <c r="E17" s="649">
        <f t="shared" ca="1" si="0"/>
        <v>236843231.10000002</v>
      </c>
      <c r="F17" s="649">
        <f t="shared" ca="1" si="0"/>
        <v>248685392.65500003</v>
      </c>
      <c r="G17" s="242">
        <f t="shared" ca="1" si="1"/>
        <v>261119662.28775004</v>
      </c>
      <c r="J17" s="519"/>
    </row>
    <row r="18" spans="1:10" ht="24.75" x14ac:dyDescent="0.25">
      <c r="A18" s="516" t="s">
        <v>27</v>
      </c>
      <c r="B18" s="517" t="s">
        <v>417</v>
      </c>
      <c r="C18" s="518" t="s">
        <v>447</v>
      </c>
      <c r="D18" s="649">
        <v>0</v>
      </c>
      <c r="E18" s="649">
        <f t="shared" si="0"/>
        <v>0</v>
      </c>
      <c r="F18" s="649">
        <f t="shared" si="0"/>
        <v>0</v>
      </c>
      <c r="G18" s="242">
        <f t="shared" si="1"/>
        <v>0</v>
      </c>
      <c r="J18" s="519"/>
    </row>
    <row r="19" spans="1:10" x14ac:dyDescent="0.25">
      <c r="A19" s="516" t="s">
        <v>28</v>
      </c>
      <c r="B19" s="517" t="s">
        <v>418</v>
      </c>
      <c r="C19" s="518" t="s">
        <v>448</v>
      </c>
      <c r="D19" s="649">
        <v>0</v>
      </c>
      <c r="E19" s="649">
        <f t="shared" si="0"/>
        <v>0</v>
      </c>
      <c r="F19" s="649">
        <f t="shared" si="0"/>
        <v>0</v>
      </c>
      <c r="G19" s="242">
        <f t="shared" si="1"/>
        <v>0</v>
      </c>
      <c r="J19" s="519"/>
    </row>
    <row r="20" spans="1:10" x14ac:dyDescent="0.25">
      <c r="A20" s="516" t="s">
        <v>29</v>
      </c>
      <c r="B20" s="517" t="s">
        <v>419</v>
      </c>
      <c r="C20" s="518" t="s">
        <v>449</v>
      </c>
      <c r="D20" s="649">
        <v>0</v>
      </c>
      <c r="E20" s="649">
        <f t="shared" si="0"/>
        <v>0</v>
      </c>
      <c r="F20" s="649">
        <f t="shared" si="0"/>
        <v>0</v>
      </c>
      <c r="G20" s="242">
        <f t="shared" si="1"/>
        <v>0</v>
      </c>
      <c r="J20" s="519"/>
    </row>
    <row r="21" spans="1:10" ht="24" x14ac:dyDescent="0.25">
      <c r="A21" s="516" t="s">
        <v>31</v>
      </c>
      <c r="B21" s="517" t="s">
        <v>450</v>
      </c>
      <c r="C21" s="518" t="s">
        <v>451</v>
      </c>
      <c r="D21" s="649"/>
      <c r="E21" s="649">
        <f t="shared" si="0"/>
        <v>0</v>
      </c>
      <c r="F21" s="649">
        <f t="shared" si="0"/>
        <v>0</v>
      </c>
      <c r="G21" s="242">
        <f t="shared" si="1"/>
        <v>0</v>
      </c>
      <c r="J21" s="519"/>
    </row>
    <row r="22" spans="1:10" x14ac:dyDescent="0.25">
      <c r="A22" s="516"/>
      <c r="B22" s="520" t="s">
        <v>452</v>
      </c>
      <c r="C22" s="521"/>
      <c r="D22" s="650">
        <f ca="1">SUM(D10:D21)</f>
        <v>1056137075</v>
      </c>
      <c r="E22" s="650">
        <f ca="1">SUM(E10:E21)</f>
        <v>1108943928.75</v>
      </c>
      <c r="F22" s="650">
        <f ca="1">SUM(F10:F21)</f>
        <v>1164391125.1875002</v>
      </c>
      <c r="G22" s="321">
        <f t="shared" ca="1" si="1"/>
        <v>1222610681.4468753</v>
      </c>
      <c r="J22" s="522"/>
    </row>
    <row r="23" spans="1:10" x14ac:dyDescent="0.25">
      <c r="A23" s="516"/>
      <c r="B23" s="523"/>
      <c r="C23" s="524"/>
      <c r="D23" s="239"/>
      <c r="E23" s="239"/>
      <c r="F23" s="239"/>
      <c r="G23" s="242"/>
    </row>
    <row r="24" spans="1:10" x14ac:dyDescent="0.25">
      <c r="A24" s="516"/>
      <c r="B24" s="512"/>
      <c r="C24" s="512"/>
      <c r="D24" s="239"/>
      <c r="E24" s="239"/>
      <c r="F24" s="239"/>
      <c r="G24" s="242"/>
    </row>
    <row r="25" spans="1:10" x14ac:dyDescent="0.25">
      <c r="A25" s="516" t="s">
        <v>32</v>
      </c>
      <c r="B25" s="525" t="s">
        <v>46</v>
      </c>
      <c r="C25" s="518" t="s">
        <v>453</v>
      </c>
      <c r="D25" s="239">
        <f>'1.melléklet.Önkormányzat'!D52</f>
        <v>427294506</v>
      </c>
      <c r="E25" s="239">
        <f t="shared" ref="E25:F36" si="2">(D25*1.05)</f>
        <v>448659231.30000001</v>
      </c>
      <c r="F25" s="239">
        <f t="shared" si="2"/>
        <v>471092192.86500001</v>
      </c>
      <c r="G25" s="242">
        <f t="shared" si="1"/>
        <v>494646802.50825006</v>
      </c>
    </row>
    <row r="26" spans="1:10" ht="24.75" x14ac:dyDescent="0.25">
      <c r="A26" s="516" t="s">
        <v>35</v>
      </c>
      <c r="B26" s="518" t="s">
        <v>384</v>
      </c>
      <c r="C26" s="518" t="s">
        <v>454</v>
      </c>
      <c r="D26" s="239">
        <f>'1.melléklet.Önkormányzat'!D53</f>
        <v>66361207</v>
      </c>
      <c r="E26" s="239">
        <f t="shared" si="2"/>
        <v>69679267.350000009</v>
      </c>
      <c r="F26" s="239">
        <f t="shared" si="2"/>
        <v>73163230.717500016</v>
      </c>
      <c r="G26" s="242">
        <f t="shared" si="1"/>
        <v>76821392.253375024</v>
      </c>
    </row>
    <row r="27" spans="1:10" x14ac:dyDescent="0.25">
      <c r="A27" s="516" t="s">
        <v>37</v>
      </c>
      <c r="B27" s="525" t="s">
        <v>47</v>
      </c>
      <c r="C27" s="518" t="s">
        <v>455</v>
      </c>
      <c r="D27" s="239">
        <f>'1.melléklet.Önkormányzat'!D54</f>
        <v>260107554</v>
      </c>
      <c r="E27" s="239">
        <f t="shared" si="2"/>
        <v>273112931.69999999</v>
      </c>
      <c r="F27" s="239">
        <f t="shared" si="2"/>
        <v>286768578.28500003</v>
      </c>
      <c r="G27" s="242">
        <f t="shared" si="1"/>
        <v>301107007.19925004</v>
      </c>
    </row>
    <row r="28" spans="1:10" x14ac:dyDescent="0.25">
      <c r="A28" s="516" t="s">
        <v>72</v>
      </c>
      <c r="B28" s="525" t="s">
        <v>48</v>
      </c>
      <c r="C28" s="518" t="s">
        <v>456</v>
      </c>
      <c r="D28" s="239">
        <f>'1.melléklet.Önkormányzat'!D55</f>
        <v>29774000</v>
      </c>
      <c r="E28" s="239">
        <f t="shared" si="2"/>
        <v>31262700</v>
      </c>
      <c r="F28" s="239">
        <f t="shared" si="2"/>
        <v>32825835</v>
      </c>
      <c r="G28" s="242">
        <f t="shared" si="1"/>
        <v>34467126.75</v>
      </c>
    </row>
    <row r="29" spans="1:10" x14ac:dyDescent="0.25">
      <c r="A29" s="516" t="s">
        <v>40</v>
      </c>
      <c r="B29" s="525" t="s">
        <v>49</v>
      </c>
      <c r="C29" s="518" t="s">
        <v>457</v>
      </c>
      <c r="D29" s="239">
        <f>'1.melléklet.Önkormányzat'!D56</f>
        <v>32557000</v>
      </c>
      <c r="E29" s="239">
        <f t="shared" si="2"/>
        <v>34184850</v>
      </c>
      <c r="F29" s="239">
        <f t="shared" si="2"/>
        <v>35894092.5</v>
      </c>
      <c r="G29" s="242">
        <f t="shared" si="1"/>
        <v>37688797.125</v>
      </c>
    </row>
    <row r="30" spans="1:10" x14ac:dyDescent="0.25">
      <c r="A30" s="516" t="s">
        <v>42</v>
      </c>
      <c r="B30" s="525" t="s">
        <v>53</v>
      </c>
      <c r="C30" s="518" t="s">
        <v>458</v>
      </c>
      <c r="D30" s="239">
        <f>'1.melléklet.Önkormányzat'!D61</f>
        <v>120690998</v>
      </c>
      <c r="E30" s="239">
        <f t="shared" si="2"/>
        <v>126725547.90000001</v>
      </c>
      <c r="F30" s="239">
        <f t="shared" si="2"/>
        <v>133061825.29500002</v>
      </c>
      <c r="G30" s="242">
        <f t="shared" si="1"/>
        <v>139714916.55975002</v>
      </c>
    </row>
    <row r="31" spans="1:10" x14ac:dyDescent="0.25">
      <c r="A31" s="516" t="s">
        <v>158</v>
      </c>
      <c r="B31" s="525" t="s">
        <v>55</v>
      </c>
      <c r="C31" s="518" t="s">
        <v>459</v>
      </c>
      <c r="D31" s="239">
        <f>'1.melléklet.Önkormányzat'!D63</f>
        <v>8501000</v>
      </c>
      <c r="E31" s="239">
        <f t="shared" si="2"/>
        <v>8926050</v>
      </c>
      <c r="F31" s="239">
        <f t="shared" si="2"/>
        <v>9372352.5</v>
      </c>
      <c r="G31" s="242">
        <f t="shared" si="1"/>
        <v>9840970.125</v>
      </c>
    </row>
    <row r="32" spans="1:10" x14ac:dyDescent="0.25">
      <c r="A32" s="516" t="s">
        <v>159</v>
      </c>
      <c r="B32" s="525" t="s">
        <v>370</v>
      </c>
      <c r="C32" s="518" t="s">
        <v>460</v>
      </c>
      <c r="D32" s="239">
        <f>'1.melléklet.Önkormányzat'!D65</f>
        <v>5000000</v>
      </c>
      <c r="E32" s="239">
        <f t="shared" si="2"/>
        <v>5250000</v>
      </c>
      <c r="F32" s="239">
        <f t="shared" si="2"/>
        <v>5512500</v>
      </c>
      <c r="G32" s="242">
        <f t="shared" si="1"/>
        <v>5788125</v>
      </c>
    </row>
    <row r="33" spans="1:7" x14ac:dyDescent="0.25">
      <c r="A33" s="516" t="s">
        <v>160</v>
      </c>
      <c r="B33" s="525" t="s">
        <v>422</v>
      </c>
      <c r="C33" s="526" t="s">
        <v>461</v>
      </c>
      <c r="D33" s="239"/>
      <c r="E33" s="239"/>
      <c r="F33" s="239"/>
      <c r="G33" s="242"/>
    </row>
    <row r="34" spans="1:7" x14ac:dyDescent="0.25">
      <c r="A34" s="516" t="s">
        <v>161</v>
      </c>
      <c r="B34" s="525" t="s">
        <v>423</v>
      </c>
      <c r="C34" s="526" t="s">
        <v>462</v>
      </c>
      <c r="D34" s="239">
        <v>0</v>
      </c>
      <c r="E34" s="239">
        <f t="shared" si="2"/>
        <v>0</v>
      </c>
      <c r="F34" s="239">
        <f t="shared" si="2"/>
        <v>0</v>
      </c>
      <c r="G34" s="242">
        <f t="shared" si="1"/>
        <v>0</v>
      </c>
    </row>
    <row r="35" spans="1:7" x14ac:dyDescent="0.25">
      <c r="A35" s="516" t="s">
        <v>162</v>
      </c>
      <c r="B35" s="527" t="s">
        <v>50</v>
      </c>
      <c r="C35" s="524" t="s">
        <v>463</v>
      </c>
      <c r="D35" s="239">
        <f>'1.melléklet.Önkormányzat'!D57</f>
        <v>83629087</v>
      </c>
      <c r="E35" s="239">
        <f t="shared" si="2"/>
        <v>87810541.350000009</v>
      </c>
      <c r="F35" s="239">
        <f t="shared" si="2"/>
        <v>92201068.417500019</v>
      </c>
      <c r="G35" s="242">
        <f t="shared" si="1"/>
        <v>96811121.838375017</v>
      </c>
    </row>
    <row r="36" spans="1:7" x14ac:dyDescent="0.25">
      <c r="A36" s="516" t="s">
        <v>163</v>
      </c>
      <c r="B36" s="528" t="s">
        <v>464</v>
      </c>
      <c r="C36" s="529" t="s">
        <v>465</v>
      </c>
      <c r="D36" s="239">
        <f>'1.melléklet.Önkormányzat'!D74</f>
        <v>22221723</v>
      </c>
      <c r="E36" s="239">
        <f>(D36*1.05)</f>
        <v>23332809.150000002</v>
      </c>
      <c r="F36" s="239">
        <f t="shared" si="2"/>
        <v>24499449.607500002</v>
      </c>
      <c r="G36" s="242">
        <f t="shared" si="1"/>
        <v>25724422.087875001</v>
      </c>
    </row>
    <row r="37" spans="1:7" ht="15.75" thickBot="1" x14ac:dyDescent="0.3">
      <c r="A37" s="530"/>
      <c r="B37" s="531" t="s">
        <v>128</v>
      </c>
      <c r="C37" s="532"/>
      <c r="D37" s="651">
        <f>SUM(D25:D36)</f>
        <v>1056137075</v>
      </c>
      <c r="E37" s="651">
        <f>SUM(E25:E36)</f>
        <v>1108943928.75</v>
      </c>
      <c r="F37" s="651">
        <f>SUM(F25:F36)</f>
        <v>1164391125.1875002</v>
      </c>
      <c r="G37" s="652">
        <f t="shared" si="1"/>
        <v>1222610681.4468753</v>
      </c>
    </row>
    <row r="38" spans="1:7" x14ac:dyDescent="0.25">
      <c r="A38" s="533"/>
      <c r="B38" s="534"/>
      <c r="C38" s="533"/>
      <c r="D38" s="533"/>
      <c r="E38" s="533"/>
      <c r="F38" s="533"/>
      <c r="G38" s="533"/>
    </row>
    <row r="44" spans="1:7" x14ac:dyDescent="0.25">
      <c r="B44" s="348"/>
      <c r="C44" s="535"/>
    </row>
    <row r="45" spans="1:7" x14ac:dyDescent="0.25">
      <c r="B45" s="348"/>
      <c r="C45" s="535"/>
    </row>
    <row r="46" spans="1:7" x14ac:dyDescent="0.25">
      <c r="B46" s="348"/>
      <c r="C46" s="535"/>
    </row>
    <row r="47" spans="1:7" x14ac:dyDescent="0.25">
      <c r="B47" s="348"/>
      <c r="C47" s="535"/>
    </row>
    <row r="48" spans="1:7" x14ac:dyDescent="0.25">
      <c r="B48" s="348"/>
      <c r="C48" s="535"/>
    </row>
    <row r="49" spans="2:3" x14ac:dyDescent="0.25">
      <c r="B49" s="348"/>
      <c r="C49" s="537"/>
    </row>
    <row r="50" spans="2:3" x14ac:dyDescent="0.25">
      <c r="B50" s="538"/>
      <c r="C50" s="539"/>
    </row>
    <row r="51" spans="2:3" x14ac:dyDescent="0.25">
      <c r="B51" s="348"/>
      <c r="C51" s="535"/>
    </row>
    <row r="52" spans="2:3" x14ac:dyDescent="0.25">
      <c r="B52" s="348"/>
      <c r="C52" s="535"/>
    </row>
    <row r="53" spans="2:3" x14ac:dyDescent="0.25">
      <c r="B53" s="348"/>
      <c r="C53" s="535"/>
    </row>
    <row r="54" spans="2:3" x14ac:dyDescent="0.25">
      <c r="B54" s="348"/>
      <c r="C54" s="535"/>
    </row>
    <row r="55" spans="2:3" x14ac:dyDescent="0.25">
      <c r="B55" s="348"/>
      <c r="C55" s="535"/>
    </row>
    <row r="56" spans="2:3" x14ac:dyDescent="0.25">
      <c r="B56" s="538"/>
      <c r="C56" s="535"/>
    </row>
    <row r="57" spans="2:3" x14ac:dyDescent="0.25">
      <c r="B57" s="348"/>
      <c r="C57" s="540"/>
    </row>
    <row r="58" spans="2:3" x14ac:dyDescent="0.25">
      <c r="B58" s="348"/>
      <c r="C58" s="535"/>
    </row>
    <row r="59" spans="2:3" x14ac:dyDescent="0.25">
      <c r="B59" s="348"/>
      <c r="C59" s="535"/>
    </row>
    <row r="60" spans="2:3" x14ac:dyDescent="0.25">
      <c r="B60" s="348"/>
      <c r="C60" s="541"/>
    </row>
  </sheetData>
  <mergeCells count="5">
    <mergeCell ref="A1:G1"/>
    <mergeCell ref="A3:G3"/>
    <mergeCell ref="A6:G6"/>
    <mergeCell ref="A7:G7"/>
    <mergeCell ref="B4:G4"/>
  </mergeCells>
  <printOptions horizontalCentered="1"/>
  <pageMargins left="0.35433070866141736" right="0.35433070866141736" top="0.19685039370078741" bottom="0.98425196850393704" header="0.74803149606299213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F388C-4BB9-4472-A796-D4CEAE073EEA}">
  <sheetPr>
    <tabColor rgb="FFFFC000"/>
  </sheetPr>
  <dimension ref="A1:AW59"/>
  <sheetViews>
    <sheetView zoomScaleNormal="100" workbookViewId="0">
      <selection sqref="A1:F1"/>
    </sheetView>
  </sheetViews>
  <sheetFormatPr defaultRowHeight="15" x14ac:dyDescent="0.25"/>
  <cols>
    <col min="1" max="1" width="4.7109375" style="510" customWidth="1"/>
    <col min="2" max="2" width="37.42578125" style="542" customWidth="1"/>
    <col min="3" max="3" width="6.140625" style="510" customWidth="1"/>
    <col min="4" max="4" width="12" style="536" customWidth="1"/>
    <col min="5" max="5" width="13.140625" style="536" customWidth="1"/>
    <col min="6" max="6" width="12.42578125" style="536" customWidth="1"/>
    <col min="7" max="7" width="9.140625" style="510"/>
    <col min="8" max="8" width="34" style="510" customWidth="1"/>
    <col min="9" max="9" width="11.7109375" style="510" customWidth="1"/>
    <col min="10" max="16384" width="9.140625" style="510"/>
  </cols>
  <sheetData>
    <row r="1" spans="1:49" s="662" customFormat="1" ht="27.75" customHeight="1" x14ac:dyDescent="0.2">
      <c r="A1" s="835" t="s">
        <v>602</v>
      </c>
      <c r="B1" s="836"/>
      <c r="C1" s="836"/>
      <c r="D1" s="836"/>
      <c r="E1" s="836"/>
      <c r="F1" s="836"/>
      <c r="G1" s="725"/>
      <c r="H1" s="659"/>
      <c r="I1" s="659"/>
      <c r="J1" s="659"/>
      <c r="K1" s="659"/>
      <c r="L1" s="659"/>
      <c r="M1" s="659"/>
      <c r="N1" s="659"/>
      <c r="O1" s="660"/>
      <c r="P1" s="660"/>
      <c r="Q1" s="660"/>
      <c r="R1" s="660"/>
      <c r="S1" s="661"/>
      <c r="T1" s="661"/>
      <c r="U1" s="661"/>
      <c r="V1" s="661"/>
      <c r="W1" s="661"/>
      <c r="X1" s="661"/>
      <c r="Y1" s="661"/>
      <c r="Z1" s="661"/>
      <c r="AA1" s="661"/>
      <c r="AB1" s="661"/>
      <c r="AC1" s="661"/>
      <c r="AD1" s="661"/>
      <c r="AE1" s="661"/>
      <c r="AF1" s="661"/>
      <c r="AG1" s="661"/>
      <c r="AH1" s="661"/>
      <c r="AI1" s="661"/>
      <c r="AJ1" s="661"/>
      <c r="AK1" s="661"/>
      <c r="AL1" s="661"/>
      <c r="AM1" s="661"/>
      <c r="AN1" s="661"/>
      <c r="AO1" s="661"/>
      <c r="AP1" s="661"/>
      <c r="AQ1" s="661"/>
      <c r="AR1" s="661"/>
      <c r="AS1" s="661"/>
      <c r="AT1" s="661"/>
      <c r="AU1" s="661"/>
      <c r="AV1" s="661"/>
      <c r="AW1" s="661"/>
    </row>
    <row r="2" spans="1:49" s="662" customFormat="1" ht="33.75" customHeight="1" x14ac:dyDescent="0.2">
      <c r="A2" s="705"/>
      <c r="B2" s="834" t="s">
        <v>582</v>
      </c>
      <c r="C2" s="834"/>
      <c r="D2" s="834"/>
      <c r="E2" s="834"/>
      <c r="F2" s="834"/>
      <c r="G2" s="706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1"/>
      <c r="S2" s="661"/>
      <c r="T2" s="661"/>
      <c r="U2" s="661"/>
      <c r="V2" s="661"/>
      <c r="W2" s="661"/>
      <c r="X2" s="661"/>
      <c r="Y2" s="661"/>
      <c r="Z2" s="661"/>
      <c r="AA2" s="661"/>
      <c r="AB2" s="661"/>
      <c r="AC2" s="661"/>
      <c r="AD2" s="661"/>
      <c r="AE2" s="661"/>
      <c r="AF2" s="661"/>
      <c r="AG2" s="661"/>
      <c r="AH2" s="661"/>
      <c r="AI2" s="661"/>
      <c r="AJ2" s="661"/>
      <c r="AK2" s="661"/>
      <c r="AL2" s="661"/>
      <c r="AM2" s="661"/>
      <c r="AN2" s="661"/>
      <c r="AO2" s="661"/>
      <c r="AP2" s="661"/>
      <c r="AQ2" s="661"/>
      <c r="AR2" s="661"/>
      <c r="AS2" s="661"/>
      <c r="AT2" s="661"/>
      <c r="AU2" s="661"/>
      <c r="AV2" s="661"/>
      <c r="AW2" s="661"/>
    </row>
    <row r="3" spans="1:49" s="662" customFormat="1" ht="28.5" customHeight="1" x14ac:dyDescent="0.2">
      <c r="A3" s="829"/>
      <c r="B3" s="830"/>
      <c r="C3" s="830"/>
      <c r="D3" s="830"/>
      <c r="E3" s="830"/>
      <c r="F3" s="830"/>
      <c r="G3" s="664"/>
      <c r="H3" s="659"/>
      <c r="I3" s="659"/>
      <c r="J3" s="659"/>
      <c r="K3" s="659"/>
      <c r="L3" s="659"/>
      <c r="M3" s="659"/>
      <c r="N3" s="659"/>
      <c r="O3" s="660"/>
      <c r="P3" s="660"/>
      <c r="Q3" s="660"/>
      <c r="R3" s="660"/>
      <c r="S3" s="661"/>
      <c r="T3" s="661"/>
      <c r="U3" s="661"/>
      <c r="V3" s="661"/>
      <c r="W3" s="661"/>
      <c r="X3" s="661"/>
      <c r="Y3" s="661"/>
      <c r="Z3" s="661"/>
      <c r="AA3" s="661"/>
      <c r="AB3" s="661"/>
      <c r="AC3" s="661"/>
      <c r="AD3" s="661"/>
      <c r="AE3" s="661"/>
      <c r="AF3" s="661"/>
      <c r="AG3" s="661"/>
      <c r="AH3" s="661"/>
      <c r="AI3" s="661"/>
      <c r="AJ3" s="661"/>
      <c r="AK3" s="661"/>
      <c r="AL3" s="661"/>
      <c r="AM3" s="661"/>
      <c r="AN3" s="661"/>
      <c r="AO3" s="661"/>
      <c r="AP3" s="661"/>
      <c r="AQ3" s="661"/>
      <c r="AR3" s="661"/>
      <c r="AS3" s="661"/>
      <c r="AT3" s="661"/>
      <c r="AU3" s="661"/>
      <c r="AV3" s="661"/>
      <c r="AW3" s="661"/>
    </row>
    <row r="4" spans="1:49" s="662" customFormat="1" ht="12" x14ac:dyDescent="0.2">
      <c r="A4" s="665"/>
      <c r="B4" s="666"/>
      <c r="C4" s="666"/>
      <c r="D4" s="666"/>
      <c r="E4" s="667"/>
      <c r="F4" s="667"/>
      <c r="G4" s="667"/>
      <c r="H4" s="667"/>
      <c r="I4" s="667"/>
      <c r="J4" s="668"/>
      <c r="K4" s="661"/>
      <c r="L4" s="661"/>
      <c r="M4" s="661"/>
      <c r="N4" s="661"/>
      <c r="O4" s="661"/>
      <c r="P4" s="661"/>
      <c r="Q4" s="661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661"/>
      <c r="AC4" s="661"/>
      <c r="AD4" s="661"/>
      <c r="AE4" s="661"/>
      <c r="AF4" s="661"/>
      <c r="AG4" s="661"/>
      <c r="AH4" s="661"/>
      <c r="AI4" s="661"/>
      <c r="AJ4" s="661"/>
      <c r="AK4" s="661"/>
      <c r="AL4" s="661"/>
      <c r="AM4" s="661"/>
      <c r="AN4" s="661"/>
      <c r="AO4" s="661"/>
      <c r="AP4" s="661"/>
      <c r="AQ4" s="661"/>
      <c r="AR4" s="661"/>
      <c r="AS4" s="661"/>
      <c r="AT4" s="661"/>
      <c r="AU4" s="661"/>
      <c r="AV4" s="661"/>
      <c r="AW4" s="661"/>
    </row>
    <row r="5" spans="1:49" s="662" customFormat="1" ht="36" customHeight="1" x14ac:dyDescent="0.25">
      <c r="A5" s="831" t="s">
        <v>564</v>
      </c>
      <c r="B5" s="832"/>
      <c r="C5" s="832"/>
      <c r="D5" s="832"/>
      <c r="E5" s="832"/>
      <c r="F5" s="832"/>
      <c r="G5" s="669"/>
      <c r="H5" s="670"/>
      <c r="I5" s="670"/>
      <c r="J5" s="670"/>
      <c r="K5" s="670"/>
      <c r="L5" s="670"/>
      <c r="M5" s="670"/>
      <c r="N5" s="670"/>
      <c r="O5" s="671"/>
      <c r="P5" s="671"/>
      <c r="Q5" s="671"/>
      <c r="R5" s="671"/>
      <c r="S5" s="661"/>
      <c r="T5" s="661"/>
      <c r="U5" s="661"/>
      <c r="V5" s="661"/>
      <c r="W5" s="661"/>
      <c r="X5" s="661"/>
      <c r="Y5" s="661"/>
      <c r="Z5" s="661"/>
      <c r="AA5" s="661"/>
      <c r="AB5" s="661"/>
      <c r="AC5" s="661"/>
      <c r="AD5" s="661"/>
      <c r="AE5" s="661"/>
      <c r="AF5" s="661"/>
      <c r="AG5" s="661"/>
      <c r="AH5" s="661"/>
      <c r="AI5" s="661"/>
      <c r="AJ5" s="661"/>
      <c r="AK5" s="661"/>
      <c r="AL5" s="661"/>
      <c r="AM5" s="661"/>
      <c r="AN5" s="661"/>
      <c r="AO5" s="661"/>
      <c r="AP5" s="661"/>
      <c r="AQ5" s="661"/>
      <c r="AR5" s="661"/>
      <c r="AS5" s="661"/>
      <c r="AT5" s="661"/>
      <c r="AU5" s="661"/>
      <c r="AV5" s="661"/>
      <c r="AW5" s="661"/>
    </row>
    <row r="6" spans="1:49" s="662" customFormat="1" ht="22.5" customHeight="1" thickBot="1" x14ac:dyDescent="0.25">
      <c r="A6" s="833" t="s">
        <v>339</v>
      </c>
      <c r="B6" s="833"/>
      <c r="C6" s="833"/>
      <c r="D6" s="833"/>
      <c r="E6" s="833"/>
      <c r="F6" s="833"/>
      <c r="G6" s="672"/>
      <c r="H6" s="672"/>
      <c r="I6" s="672"/>
      <c r="J6" s="672"/>
      <c r="K6" s="672"/>
      <c r="L6" s="672"/>
      <c r="M6" s="672"/>
      <c r="N6" s="672"/>
      <c r="O6" s="660"/>
      <c r="P6" s="660"/>
      <c r="Q6" s="660"/>
      <c r="R6" s="660"/>
      <c r="S6" s="661"/>
      <c r="T6" s="661"/>
      <c r="U6" s="661"/>
      <c r="V6" s="661"/>
      <c r="W6" s="661"/>
      <c r="X6" s="661"/>
      <c r="Y6" s="661"/>
      <c r="Z6" s="661"/>
      <c r="AA6" s="661"/>
      <c r="AB6" s="661"/>
      <c r="AC6" s="661"/>
      <c r="AD6" s="661"/>
      <c r="AE6" s="661"/>
      <c r="AF6" s="661"/>
      <c r="AG6" s="661"/>
      <c r="AH6" s="661"/>
      <c r="AI6" s="661"/>
      <c r="AJ6" s="661"/>
      <c r="AK6" s="661"/>
      <c r="AL6" s="661"/>
      <c r="AM6" s="661"/>
      <c r="AN6" s="661"/>
      <c r="AO6" s="661"/>
      <c r="AP6" s="661"/>
      <c r="AQ6" s="661"/>
      <c r="AR6" s="661"/>
      <c r="AS6" s="661"/>
      <c r="AT6" s="661"/>
      <c r="AU6" s="661"/>
      <c r="AV6" s="661"/>
      <c r="AW6" s="661"/>
    </row>
    <row r="7" spans="1:49" ht="30" x14ac:dyDescent="0.25">
      <c r="A7" s="506"/>
      <c r="B7" s="507"/>
      <c r="C7" s="508" t="s">
        <v>436</v>
      </c>
      <c r="D7" s="673" t="s">
        <v>565</v>
      </c>
      <c r="E7" s="673" t="s">
        <v>566</v>
      </c>
      <c r="F7" s="674" t="s">
        <v>567</v>
      </c>
    </row>
    <row r="8" spans="1:49" x14ac:dyDescent="0.25">
      <c r="A8" s="511" t="s">
        <v>439</v>
      </c>
      <c r="B8" s="512"/>
      <c r="C8" s="512"/>
      <c r="D8" s="513"/>
      <c r="E8" s="513"/>
      <c r="F8" s="675"/>
      <c r="I8" s="515"/>
    </row>
    <row r="9" spans="1:49" x14ac:dyDescent="0.25">
      <c r="A9" s="516" t="s">
        <v>1</v>
      </c>
      <c r="B9" s="517" t="s">
        <v>73</v>
      </c>
      <c r="C9" s="518" t="s">
        <v>440</v>
      </c>
      <c r="D9" s="649">
        <v>93453000</v>
      </c>
      <c r="E9" s="649">
        <v>81732800</v>
      </c>
      <c r="F9" s="684">
        <f>'1.melléklet.Önkormányzat'!D25</f>
        <v>79500000</v>
      </c>
      <c r="I9" s="519"/>
    </row>
    <row r="10" spans="1:49" x14ac:dyDescent="0.25">
      <c r="A10" s="516" t="s">
        <v>3</v>
      </c>
      <c r="B10" s="517" t="s">
        <v>381</v>
      </c>
      <c r="C10" s="518" t="s">
        <v>441</v>
      </c>
      <c r="D10" s="649">
        <v>122034648</v>
      </c>
      <c r="E10" s="649">
        <v>112906528</v>
      </c>
      <c r="F10" s="684">
        <f ca="1">'1.melléklet.Önkormányzat'!D32</f>
        <v>105163694</v>
      </c>
      <c r="I10" s="519"/>
    </row>
    <row r="11" spans="1:49" ht="23.25" customHeight="1" x14ac:dyDescent="0.25">
      <c r="A11" s="516" t="s">
        <v>4</v>
      </c>
      <c r="B11" s="517" t="s">
        <v>382</v>
      </c>
      <c r="C11" s="518" t="s">
        <v>442</v>
      </c>
      <c r="D11" s="649">
        <v>3392755</v>
      </c>
      <c r="E11" s="649">
        <v>4014504</v>
      </c>
      <c r="F11" s="684">
        <f>'1.melléklet.Önkormányzat'!D34</f>
        <v>600000</v>
      </c>
      <c r="I11" s="519"/>
    </row>
    <row r="12" spans="1:49" ht="24" x14ac:dyDescent="0.25">
      <c r="A12" s="516" t="s">
        <v>6</v>
      </c>
      <c r="B12" s="517" t="s">
        <v>87</v>
      </c>
      <c r="C12" s="518" t="s">
        <v>540</v>
      </c>
      <c r="D12" s="649">
        <v>660819195</v>
      </c>
      <c r="E12" s="649">
        <f>557768621+89835490</f>
        <v>647604111</v>
      </c>
      <c r="F12" s="684">
        <f>'1.melléklet.Önkormányzat'!D9+'1.melléklet.Önkormányzat'!D17</f>
        <v>635718316</v>
      </c>
      <c r="I12" s="519"/>
    </row>
    <row r="13" spans="1:49" x14ac:dyDescent="0.25">
      <c r="A13" s="516" t="s">
        <v>8</v>
      </c>
      <c r="B13" s="517" t="s">
        <v>23</v>
      </c>
      <c r="C13" s="518" t="s">
        <v>443</v>
      </c>
      <c r="D13" s="649"/>
      <c r="E13" s="649">
        <v>1100000</v>
      </c>
      <c r="F13" s="684">
        <f>'[1]9 melléklet'!E24</f>
        <v>0</v>
      </c>
      <c r="I13" s="519"/>
    </row>
    <row r="14" spans="1:49" ht="24" x14ac:dyDescent="0.25">
      <c r="A14" s="516" t="s">
        <v>22</v>
      </c>
      <c r="B14" s="517" t="s">
        <v>389</v>
      </c>
      <c r="C14" s="518" t="s">
        <v>444</v>
      </c>
      <c r="D14" s="649">
        <v>9981260</v>
      </c>
      <c r="E14" s="649">
        <v>14239218</v>
      </c>
      <c r="F14" s="684">
        <f>'1.melléklet.Önkormányzat'!D33</f>
        <v>9590083</v>
      </c>
      <c r="I14" s="519"/>
    </row>
    <row r="15" spans="1:49" ht="24" x14ac:dyDescent="0.25">
      <c r="A15" s="516" t="s">
        <v>24</v>
      </c>
      <c r="B15" s="517" t="s">
        <v>88</v>
      </c>
      <c r="C15" s="518" t="s">
        <v>445</v>
      </c>
      <c r="D15" s="649">
        <v>15000000</v>
      </c>
      <c r="E15" s="649">
        <v>170510042</v>
      </c>
      <c r="F15" s="684">
        <f>'1.melléklet.Önkormányzat'!D21</f>
        <v>0</v>
      </c>
      <c r="I15" s="519"/>
    </row>
    <row r="16" spans="1:49" x14ac:dyDescent="0.25">
      <c r="A16" s="516" t="s">
        <v>25</v>
      </c>
      <c r="B16" s="517" t="s">
        <v>152</v>
      </c>
      <c r="C16" s="518" t="s">
        <v>446</v>
      </c>
      <c r="D16" s="649">
        <v>290168642</v>
      </c>
      <c r="E16" s="649">
        <v>59464425</v>
      </c>
      <c r="F16" s="684">
        <f ca="1">'1.melléklet.Önkormányzat'!D38</f>
        <v>225564982</v>
      </c>
      <c r="I16" s="519"/>
    </row>
    <row r="17" spans="1:9" x14ac:dyDescent="0.25">
      <c r="A17" s="516" t="s">
        <v>27</v>
      </c>
      <c r="B17" s="517" t="s">
        <v>417</v>
      </c>
      <c r="C17" s="518" t="s">
        <v>447</v>
      </c>
      <c r="D17" s="649"/>
      <c r="E17" s="649"/>
      <c r="F17" s="684">
        <v>0</v>
      </c>
      <c r="I17" s="519"/>
    </row>
    <row r="18" spans="1:9" x14ac:dyDescent="0.25">
      <c r="A18" s="516" t="s">
        <v>28</v>
      </c>
      <c r="B18" s="517" t="s">
        <v>418</v>
      </c>
      <c r="C18" s="518" t="s">
        <v>448</v>
      </c>
      <c r="D18" s="649"/>
      <c r="E18" s="649"/>
      <c r="F18" s="684">
        <v>0</v>
      </c>
      <c r="I18" s="519"/>
    </row>
    <row r="19" spans="1:9" x14ac:dyDescent="0.25">
      <c r="A19" s="516" t="s">
        <v>29</v>
      </c>
      <c r="B19" s="517" t="s">
        <v>419</v>
      </c>
      <c r="C19" s="518" t="s">
        <v>449</v>
      </c>
      <c r="D19" s="649"/>
      <c r="E19" s="649"/>
      <c r="F19" s="684">
        <v>0</v>
      </c>
      <c r="I19" s="519"/>
    </row>
    <row r="20" spans="1:9" x14ac:dyDescent="0.25">
      <c r="A20" s="516" t="s">
        <v>31</v>
      </c>
      <c r="B20" s="517" t="s">
        <v>450</v>
      </c>
      <c r="C20" s="518" t="s">
        <v>451</v>
      </c>
      <c r="D20" s="649">
        <v>19917325</v>
      </c>
      <c r="E20" s="649">
        <v>22221723</v>
      </c>
      <c r="F20" s="684"/>
      <c r="I20" s="519"/>
    </row>
    <row r="21" spans="1:9" x14ac:dyDescent="0.25">
      <c r="A21" s="516"/>
      <c r="B21" s="520" t="s">
        <v>452</v>
      </c>
      <c r="C21" s="521"/>
      <c r="D21" s="650">
        <f>SUM(D9:D20)</f>
        <v>1214766825</v>
      </c>
      <c r="E21" s="650">
        <f>SUM(E9:E20)</f>
        <v>1113793351</v>
      </c>
      <c r="F21" s="684">
        <f ca="1">SUM(F9:F20)</f>
        <v>1056137075</v>
      </c>
      <c r="I21" s="522"/>
    </row>
    <row r="22" spans="1:9" x14ac:dyDescent="0.25">
      <c r="A22" s="516"/>
      <c r="B22" s="523"/>
      <c r="C22" s="524"/>
      <c r="D22" s="239"/>
      <c r="E22" s="239"/>
      <c r="F22" s="685"/>
    </row>
    <row r="23" spans="1:9" x14ac:dyDescent="0.25">
      <c r="A23" s="516"/>
      <c r="B23" s="512"/>
      <c r="C23" s="512"/>
      <c r="D23" s="239"/>
      <c r="E23" s="239"/>
      <c r="F23" s="685"/>
    </row>
    <row r="24" spans="1:9" x14ac:dyDescent="0.25">
      <c r="A24" s="516" t="s">
        <v>32</v>
      </c>
      <c r="B24" s="525" t="s">
        <v>46</v>
      </c>
      <c r="C24" s="518" t="s">
        <v>453</v>
      </c>
      <c r="D24" s="239">
        <v>393727002</v>
      </c>
      <c r="E24" s="239">
        <v>413226009</v>
      </c>
      <c r="F24" s="685">
        <f>'1.melléklet.Önkormányzat'!D52</f>
        <v>427294506</v>
      </c>
    </row>
    <row r="25" spans="1:9" ht="24.75" x14ac:dyDescent="0.25">
      <c r="A25" s="516" t="s">
        <v>35</v>
      </c>
      <c r="B25" s="518" t="s">
        <v>384</v>
      </c>
      <c r="C25" s="518" t="s">
        <v>454</v>
      </c>
      <c r="D25" s="239">
        <v>66299034</v>
      </c>
      <c r="E25" s="239">
        <v>63538459</v>
      </c>
      <c r="F25" s="685">
        <f>'1.melléklet.Önkormányzat'!D53</f>
        <v>66361207</v>
      </c>
    </row>
    <row r="26" spans="1:9" x14ac:dyDescent="0.25">
      <c r="A26" s="516" t="s">
        <v>37</v>
      </c>
      <c r="B26" s="525" t="s">
        <v>47</v>
      </c>
      <c r="C26" s="518" t="s">
        <v>455</v>
      </c>
      <c r="D26" s="239">
        <v>348067882</v>
      </c>
      <c r="E26" s="239">
        <v>268209362</v>
      </c>
      <c r="F26" s="685">
        <f>'1.melléklet.Önkormányzat'!D54</f>
        <v>260107554</v>
      </c>
    </row>
    <row r="27" spans="1:9" x14ac:dyDescent="0.25">
      <c r="A27" s="516" t="s">
        <v>72</v>
      </c>
      <c r="B27" s="525" t="s">
        <v>48</v>
      </c>
      <c r="C27" s="518" t="s">
        <v>456</v>
      </c>
      <c r="D27" s="239">
        <v>23622630</v>
      </c>
      <c r="E27" s="239">
        <v>26822966</v>
      </c>
      <c r="F27" s="685">
        <f>'1.melléklet.Önkormányzat'!D55</f>
        <v>29774000</v>
      </c>
    </row>
    <row r="28" spans="1:9" x14ac:dyDescent="0.25">
      <c r="A28" s="516" t="s">
        <v>40</v>
      </c>
      <c r="B28" s="525" t="s">
        <v>49</v>
      </c>
      <c r="C28" s="518" t="s">
        <v>457</v>
      </c>
      <c r="D28" s="239">
        <v>35669798</v>
      </c>
      <c r="E28" s="239">
        <v>36502273</v>
      </c>
      <c r="F28" s="685">
        <f>'1.melléklet.Önkormányzat'!D56</f>
        <v>32557000</v>
      </c>
    </row>
    <row r="29" spans="1:9" x14ac:dyDescent="0.25">
      <c r="A29" s="516" t="s">
        <v>42</v>
      </c>
      <c r="B29" s="525" t="s">
        <v>53</v>
      </c>
      <c r="C29" s="518" t="s">
        <v>458</v>
      </c>
      <c r="D29" s="239">
        <v>232382547</v>
      </c>
      <c r="E29" s="239">
        <v>22527931</v>
      </c>
      <c r="F29" s="685">
        <f>'1.melléklet.Önkormányzat'!D61</f>
        <v>120690998</v>
      </c>
    </row>
    <row r="30" spans="1:9" x14ac:dyDescent="0.25">
      <c r="A30" s="516" t="s">
        <v>158</v>
      </c>
      <c r="B30" s="525" t="s">
        <v>55</v>
      </c>
      <c r="C30" s="518" t="s">
        <v>459</v>
      </c>
      <c r="D30" s="239">
        <v>29638866</v>
      </c>
      <c r="E30" s="239">
        <v>34584044</v>
      </c>
      <c r="F30" s="685">
        <f>'1.melléklet.Önkormányzat'!D63</f>
        <v>8501000</v>
      </c>
    </row>
    <row r="31" spans="1:9" x14ac:dyDescent="0.25">
      <c r="A31" s="516" t="s">
        <v>159</v>
      </c>
      <c r="B31" s="525" t="s">
        <v>370</v>
      </c>
      <c r="C31" s="518" t="s">
        <v>460</v>
      </c>
      <c r="D31" s="239">
        <v>8290000</v>
      </c>
      <c r="E31" s="239">
        <v>2900000</v>
      </c>
      <c r="F31" s="685">
        <v>5000000</v>
      </c>
    </row>
    <row r="32" spans="1:9" x14ac:dyDescent="0.25">
      <c r="A32" s="516" t="s">
        <v>160</v>
      </c>
      <c r="B32" s="525" t="s">
        <v>422</v>
      </c>
      <c r="C32" s="526" t="s">
        <v>461</v>
      </c>
      <c r="D32" s="239"/>
      <c r="E32" s="239"/>
      <c r="F32" s="685"/>
    </row>
    <row r="33" spans="1:6" x14ac:dyDescent="0.25">
      <c r="A33" s="516" t="s">
        <v>161</v>
      </c>
      <c r="B33" s="525" t="s">
        <v>423</v>
      </c>
      <c r="C33" s="526" t="s">
        <v>462</v>
      </c>
      <c r="D33" s="239"/>
      <c r="E33" s="239"/>
      <c r="F33" s="685">
        <v>0</v>
      </c>
    </row>
    <row r="34" spans="1:6" x14ac:dyDescent="0.25">
      <c r="A34" s="516" t="s">
        <v>162</v>
      </c>
      <c r="B34" s="527" t="s">
        <v>50</v>
      </c>
      <c r="C34" s="524" t="s">
        <v>463</v>
      </c>
      <c r="D34" s="239"/>
      <c r="E34" s="239"/>
      <c r="F34" s="685">
        <f>'1.melléklet.Önkormányzat'!D57</f>
        <v>83629087</v>
      </c>
    </row>
    <row r="35" spans="1:6" x14ac:dyDescent="0.25">
      <c r="A35" s="516" t="s">
        <v>163</v>
      </c>
      <c r="B35" s="528" t="s">
        <v>464</v>
      </c>
      <c r="C35" s="529" t="s">
        <v>465</v>
      </c>
      <c r="D35" s="239">
        <v>16914617</v>
      </c>
      <c r="E35" s="239">
        <v>19917325</v>
      </c>
      <c r="F35" s="685">
        <f>'1.melléklet.Önkormányzat'!D74</f>
        <v>22221723</v>
      </c>
    </row>
    <row r="36" spans="1:6" ht="15.75" thickBot="1" x14ac:dyDescent="0.3">
      <c r="A36" s="676"/>
      <c r="B36" s="677" t="s">
        <v>128</v>
      </c>
      <c r="C36" s="678"/>
      <c r="D36" s="686">
        <f>SUM(D24:D35)</f>
        <v>1154612376</v>
      </c>
      <c r="E36" s="686">
        <f>SUM(E24:E35)</f>
        <v>888228369</v>
      </c>
      <c r="F36" s="726">
        <f>SUM(F24:F35)</f>
        <v>1056137075</v>
      </c>
    </row>
    <row r="37" spans="1:6" x14ac:dyDescent="0.25">
      <c r="A37" s="679"/>
      <c r="B37" s="680"/>
      <c r="C37" s="679"/>
      <c r="D37" s="679"/>
      <c r="E37" s="679"/>
      <c r="F37" s="679"/>
    </row>
    <row r="38" spans="1:6" x14ac:dyDescent="0.25">
      <c r="A38" s="681"/>
      <c r="B38" s="682"/>
      <c r="C38" s="681"/>
      <c r="D38" s="683"/>
      <c r="E38" s="683"/>
      <c r="F38" s="683"/>
    </row>
    <row r="39" spans="1:6" ht="6" customHeight="1" x14ac:dyDescent="0.25">
      <c r="A39" s="681"/>
      <c r="B39" s="682"/>
      <c r="C39" s="681"/>
      <c r="D39" s="683"/>
      <c r="E39" s="683"/>
      <c r="F39" s="683"/>
    </row>
    <row r="40" spans="1:6" x14ac:dyDescent="0.25">
      <c r="A40" s="681"/>
      <c r="B40" s="682"/>
      <c r="C40" s="681"/>
      <c r="D40" s="683"/>
      <c r="E40" s="683"/>
      <c r="F40" s="683"/>
    </row>
    <row r="41" spans="1:6" x14ac:dyDescent="0.25">
      <c r="A41" s="681"/>
      <c r="B41" s="682"/>
      <c r="C41" s="681"/>
      <c r="D41" s="683"/>
      <c r="E41" s="683"/>
      <c r="F41" s="683"/>
    </row>
    <row r="43" spans="1:6" x14ac:dyDescent="0.25">
      <c r="B43" s="348"/>
      <c r="C43" s="535"/>
    </row>
    <row r="44" spans="1:6" x14ac:dyDescent="0.25">
      <c r="B44" s="348"/>
      <c r="C44" s="535"/>
    </row>
    <row r="45" spans="1:6" x14ac:dyDescent="0.25">
      <c r="B45" s="348"/>
      <c r="C45" s="535"/>
    </row>
    <row r="46" spans="1:6" x14ac:dyDescent="0.25">
      <c r="B46" s="348"/>
      <c r="C46" s="535"/>
    </row>
    <row r="47" spans="1:6" x14ac:dyDescent="0.25">
      <c r="B47" s="348"/>
      <c r="C47" s="535"/>
    </row>
    <row r="48" spans="1:6" x14ac:dyDescent="0.25">
      <c r="B48" s="348"/>
      <c r="C48" s="537"/>
    </row>
    <row r="49" spans="2:3" x14ac:dyDescent="0.25">
      <c r="B49" s="538"/>
      <c r="C49" s="539"/>
    </row>
    <row r="50" spans="2:3" x14ac:dyDescent="0.25">
      <c r="B50" s="348"/>
      <c r="C50" s="535"/>
    </row>
    <row r="51" spans="2:3" x14ac:dyDescent="0.25">
      <c r="B51" s="348"/>
      <c r="C51" s="535"/>
    </row>
    <row r="52" spans="2:3" x14ac:dyDescent="0.25">
      <c r="B52" s="348"/>
      <c r="C52" s="535"/>
    </row>
    <row r="53" spans="2:3" x14ac:dyDescent="0.25">
      <c r="B53" s="348"/>
      <c r="C53" s="535"/>
    </row>
    <row r="54" spans="2:3" x14ac:dyDescent="0.25">
      <c r="B54" s="348"/>
      <c r="C54" s="535"/>
    </row>
    <row r="55" spans="2:3" x14ac:dyDescent="0.25">
      <c r="B55" s="538"/>
      <c r="C55" s="535"/>
    </row>
    <row r="56" spans="2:3" x14ac:dyDescent="0.25">
      <c r="B56" s="348"/>
      <c r="C56" s="540"/>
    </row>
    <row r="57" spans="2:3" x14ac:dyDescent="0.25">
      <c r="B57" s="348"/>
      <c r="C57" s="535"/>
    </row>
    <row r="58" spans="2:3" x14ac:dyDescent="0.25">
      <c r="B58" s="348"/>
      <c r="C58" s="535"/>
    </row>
    <row r="59" spans="2:3" x14ac:dyDescent="0.25">
      <c r="B59" s="348"/>
      <c r="C59" s="541"/>
    </row>
  </sheetData>
  <mergeCells count="5">
    <mergeCell ref="A3:F3"/>
    <mergeCell ref="A5:F5"/>
    <mergeCell ref="A6:F6"/>
    <mergeCell ref="B2:F2"/>
    <mergeCell ref="A1:F1"/>
  </mergeCells>
  <printOptions horizontalCentered="1"/>
  <pageMargins left="0.74803149606299213" right="0.74803149606299213" top="0.19685039370078741" bottom="0.98425196850393704" header="0.74803149606299213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6BF37-E303-43AC-9AD4-27357DC16454}">
  <sheetPr>
    <tabColor rgb="FFFFC000"/>
  </sheetPr>
  <dimension ref="A1:AX24"/>
  <sheetViews>
    <sheetView zoomScaleNormal="100" workbookViewId="0">
      <selection activeCell="B1" sqref="B1:F1"/>
    </sheetView>
  </sheetViews>
  <sheetFormatPr defaultRowHeight="12.75" x14ac:dyDescent="0.2"/>
  <cols>
    <col min="1" max="1" width="6.7109375" style="492" customWidth="1"/>
    <col min="2" max="2" width="62" style="492" customWidth="1"/>
    <col min="3" max="4" width="12.85546875" style="492" customWidth="1"/>
    <col min="5" max="5" width="12.28515625" style="492" customWidth="1"/>
    <col min="6" max="6" width="12.7109375" style="492" customWidth="1"/>
    <col min="7" max="16384" width="9.140625" style="492"/>
  </cols>
  <sheetData>
    <row r="1" spans="1:50" s="218" customFormat="1" ht="27.75" customHeight="1" x14ac:dyDescent="0.2">
      <c r="B1" s="837" t="s">
        <v>603</v>
      </c>
      <c r="C1" s="837"/>
      <c r="D1" s="837"/>
      <c r="E1" s="837"/>
      <c r="F1" s="837"/>
      <c r="G1" s="216"/>
      <c r="H1" s="216"/>
      <c r="I1" s="216"/>
      <c r="J1" s="216"/>
      <c r="K1" s="216"/>
      <c r="L1" s="216"/>
      <c r="M1" s="216"/>
      <c r="N1" s="216"/>
      <c r="O1" s="216"/>
      <c r="P1" s="346"/>
      <c r="Q1" s="346"/>
      <c r="R1" s="346"/>
      <c r="S1" s="346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  <c r="AO1" s="347"/>
      <c r="AP1" s="347"/>
      <c r="AQ1" s="347"/>
      <c r="AR1" s="347"/>
      <c r="AS1" s="347"/>
      <c r="AT1" s="347"/>
      <c r="AU1" s="347"/>
      <c r="AV1" s="347"/>
      <c r="AW1" s="347"/>
      <c r="AX1" s="347"/>
    </row>
    <row r="2" spans="1:50" s="218" customFormat="1" ht="12" x14ac:dyDescent="0.2">
      <c r="B2" s="707" t="s">
        <v>558</v>
      </c>
      <c r="C2" s="220"/>
      <c r="D2" s="220"/>
      <c r="E2" s="220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347"/>
      <c r="AN2" s="347"/>
      <c r="AO2" s="347"/>
      <c r="AP2" s="347"/>
      <c r="AQ2" s="347"/>
      <c r="AR2" s="347"/>
      <c r="AS2" s="347"/>
      <c r="AT2" s="347"/>
      <c r="AU2" s="347"/>
      <c r="AV2" s="347"/>
      <c r="AW2" s="347"/>
      <c r="AX2" s="347"/>
    </row>
    <row r="3" spans="1:50" s="218" customFormat="1" ht="28.5" customHeight="1" x14ac:dyDescent="0.2">
      <c r="B3" s="814"/>
      <c r="C3" s="815"/>
      <c r="D3" s="815"/>
      <c r="E3" s="815"/>
      <c r="F3" s="815"/>
      <c r="G3" s="222"/>
      <c r="H3" s="222"/>
      <c r="I3" s="216"/>
      <c r="J3" s="216"/>
      <c r="K3" s="216"/>
      <c r="L3" s="216"/>
      <c r="M3" s="216"/>
      <c r="N3" s="216"/>
      <c r="O3" s="216"/>
      <c r="P3" s="346"/>
      <c r="Q3" s="346"/>
      <c r="R3" s="346"/>
      <c r="S3" s="346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7"/>
      <c r="AK3" s="347"/>
      <c r="AL3" s="347"/>
      <c r="AM3" s="347"/>
      <c r="AN3" s="347"/>
      <c r="AO3" s="347"/>
      <c r="AP3" s="347"/>
      <c r="AQ3" s="347"/>
      <c r="AR3" s="347"/>
      <c r="AS3" s="347"/>
      <c r="AT3" s="347"/>
      <c r="AU3" s="347"/>
      <c r="AV3" s="347"/>
      <c r="AW3" s="347"/>
      <c r="AX3" s="347"/>
    </row>
    <row r="4" spans="1:50" s="218" customFormat="1" ht="12" x14ac:dyDescent="0.2">
      <c r="B4" s="656"/>
      <c r="C4" s="657"/>
      <c r="D4" s="657"/>
      <c r="E4" s="657"/>
      <c r="F4" s="658"/>
      <c r="G4" s="350"/>
      <c r="H4" s="350"/>
      <c r="I4" s="350"/>
      <c r="J4" s="350"/>
      <c r="K4" s="351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47"/>
      <c r="AQ4" s="347"/>
      <c r="AR4" s="347"/>
      <c r="AS4" s="347"/>
      <c r="AT4" s="347"/>
      <c r="AU4" s="347"/>
      <c r="AV4" s="347"/>
      <c r="AW4" s="347"/>
      <c r="AX4" s="347"/>
    </row>
    <row r="5" spans="1:50" s="218" customFormat="1" ht="41.25" customHeight="1" x14ac:dyDescent="0.25">
      <c r="A5" s="840" t="s">
        <v>466</v>
      </c>
      <c r="B5" s="841"/>
      <c r="C5" s="841"/>
      <c r="D5" s="841"/>
      <c r="E5" s="841"/>
      <c r="F5" s="842"/>
      <c r="G5" s="543"/>
      <c r="H5" s="543"/>
      <c r="I5" s="227"/>
      <c r="J5" s="227"/>
      <c r="K5" s="227"/>
      <c r="L5" s="227"/>
      <c r="M5" s="227"/>
      <c r="N5" s="227"/>
      <c r="O5" s="227"/>
      <c r="P5" s="353"/>
      <c r="Q5" s="353"/>
      <c r="R5" s="353"/>
      <c r="S5" s="353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  <c r="AQ5" s="347"/>
      <c r="AR5" s="347"/>
      <c r="AS5" s="347"/>
      <c r="AT5" s="347"/>
      <c r="AU5" s="347"/>
      <c r="AV5" s="347"/>
      <c r="AW5" s="347"/>
      <c r="AX5" s="347"/>
    </row>
    <row r="6" spans="1:50" s="218" customFormat="1" ht="22.5" customHeight="1" thickBot="1" x14ac:dyDescent="0.25">
      <c r="B6" s="820" t="s">
        <v>518</v>
      </c>
      <c r="C6" s="820"/>
      <c r="D6" s="820"/>
      <c r="E6" s="820"/>
      <c r="F6" s="820"/>
      <c r="G6" s="217"/>
      <c r="H6" s="217"/>
      <c r="I6" s="217"/>
      <c r="J6" s="217"/>
      <c r="K6" s="217"/>
      <c r="L6" s="217"/>
      <c r="M6" s="217"/>
      <c r="N6" s="217"/>
      <c r="O6" s="217"/>
      <c r="P6" s="346"/>
      <c r="Q6" s="346"/>
      <c r="R6" s="346"/>
      <c r="S6" s="346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  <c r="AN6" s="347"/>
      <c r="AO6" s="347"/>
      <c r="AP6" s="347"/>
      <c r="AQ6" s="347"/>
      <c r="AR6" s="347"/>
      <c r="AS6" s="347"/>
      <c r="AT6" s="347"/>
      <c r="AU6" s="347"/>
      <c r="AV6" s="347"/>
      <c r="AW6" s="347"/>
      <c r="AX6" s="347"/>
    </row>
    <row r="7" spans="1:50" ht="15" x14ac:dyDescent="0.2">
      <c r="A7" s="720"/>
      <c r="B7" s="636"/>
      <c r="C7" s="562" t="s">
        <v>467</v>
      </c>
      <c r="D7" s="562"/>
      <c r="E7" s="562"/>
      <c r="F7" s="563"/>
    </row>
    <row r="8" spans="1:50" ht="25.5" customHeight="1" x14ac:dyDescent="0.2">
      <c r="A8" s="721" t="s">
        <v>217</v>
      </c>
      <c r="B8" s="634"/>
      <c r="C8" s="564">
        <v>2020</v>
      </c>
      <c r="D8" s="564">
        <v>2021</v>
      </c>
      <c r="E8" s="564">
        <v>2022</v>
      </c>
      <c r="F8" s="565">
        <v>2023</v>
      </c>
    </row>
    <row r="9" spans="1:50" ht="26.25" customHeight="1" x14ac:dyDescent="0.2">
      <c r="A9" s="722" t="s">
        <v>68</v>
      </c>
      <c r="B9" s="632" t="s">
        <v>76</v>
      </c>
      <c r="C9" s="630" t="s">
        <v>69</v>
      </c>
      <c r="D9" s="630" t="s">
        <v>70</v>
      </c>
      <c r="E9" s="630" t="s">
        <v>71</v>
      </c>
      <c r="F9" s="631" t="s">
        <v>78</v>
      </c>
    </row>
    <row r="10" spans="1:50" ht="15" x14ac:dyDescent="0.2">
      <c r="A10" s="723"/>
      <c r="B10" s="633" t="s">
        <v>468</v>
      </c>
      <c r="C10" s="838"/>
      <c r="D10" s="838"/>
      <c r="E10" s="838"/>
      <c r="F10" s="839"/>
    </row>
    <row r="11" spans="1:50" ht="12.75" customHeight="1" x14ac:dyDescent="0.2">
      <c r="A11" s="723" t="s">
        <v>1</v>
      </c>
      <c r="B11" s="701" t="s">
        <v>469</v>
      </c>
      <c r="C11" s="702">
        <v>80100000</v>
      </c>
      <c r="D11" s="702">
        <v>80100000</v>
      </c>
      <c r="E11" s="702">
        <v>80100000</v>
      </c>
      <c r="F11" s="704">
        <v>80100000</v>
      </c>
    </row>
    <row r="12" spans="1:50" ht="42" customHeight="1" x14ac:dyDescent="0.2">
      <c r="A12" s="723" t="s">
        <v>3</v>
      </c>
      <c r="B12" s="701" t="s">
        <v>470</v>
      </c>
      <c r="C12" s="702">
        <v>17780000</v>
      </c>
      <c r="D12" s="702">
        <v>17780000</v>
      </c>
      <c r="E12" s="702">
        <v>17780000</v>
      </c>
      <c r="F12" s="704">
        <v>17780000</v>
      </c>
    </row>
    <row r="13" spans="1:50" ht="15" x14ac:dyDescent="0.2">
      <c r="A13" s="723" t="s">
        <v>4</v>
      </c>
      <c r="B13" s="634" t="s">
        <v>471</v>
      </c>
      <c r="C13" s="561">
        <v>0</v>
      </c>
      <c r="D13" s="561">
        <v>0</v>
      </c>
      <c r="E13" s="561">
        <v>0</v>
      </c>
      <c r="F13" s="544">
        <v>0</v>
      </c>
    </row>
    <row r="14" spans="1:50" ht="44.25" customHeight="1" x14ac:dyDescent="0.2">
      <c r="A14" s="723" t="s">
        <v>6</v>
      </c>
      <c r="B14" s="701" t="s">
        <v>472</v>
      </c>
      <c r="C14" s="703">
        <v>0</v>
      </c>
      <c r="D14" s="702">
        <v>0</v>
      </c>
      <c r="E14" s="703">
        <v>0</v>
      </c>
      <c r="F14" s="744">
        <v>0</v>
      </c>
    </row>
    <row r="15" spans="1:50" ht="15" x14ac:dyDescent="0.2">
      <c r="A15" s="723" t="s">
        <v>8</v>
      </c>
      <c r="B15" s="634" t="s">
        <v>473</v>
      </c>
      <c r="C15" s="708">
        <v>0</v>
      </c>
      <c r="D15" s="561">
        <v>0</v>
      </c>
      <c r="E15" s="561">
        <v>0</v>
      </c>
      <c r="F15" s="544">
        <v>0</v>
      </c>
    </row>
    <row r="16" spans="1:50" ht="15" x14ac:dyDescent="0.2">
      <c r="A16" s="723" t="s">
        <v>22</v>
      </c>
      <c r="B16" s="634" t="s">
        <v>474</v>
      </c>
      <c r="C16" s="561">
        <v>0</v>
      </c>
      <c r="D16" s="561">
        <v>0</v>
      </c>
      <c r="E16" s="561">
        <v>0</v>
      </c>
      <c r="F16" s="544">
        <v>0</v>
      </c>
    </row>
    <row r="17" spans="1:6" ht="12.75" customHeight="1" thickBot="1" x14ac:dyDescent="0.25">
      <c r="A17" s="724"/>
      <c r="B17" s="635" t="s">
        <v>475</v>
      </c>
      <c r="C17" s="559">
        <f>SUM(C11:C16)</f>
        <v>97880000</v>
      </c>
      <c r="D17" s="559">
        <f t="shared" ref="D17:F17" si="0">SUM(D11:D16)</f>
        <v>97880000</v>
      </c>
      <c r="E17" s="559">
        <f t="shared" si="0"/>
        <v>97880000</v>
      </c>
      <c r="F17" s="560">
        <f t="shared" si="0"/>
        <v>97880000</v>
      </c>
    </row>
    <row r="24" spans="1:6" ht="15" customHeight="1" x14ac:dyDescent="0.2"/>
  </sheetData>
  <mergeCells count="5">
    <mergeCell ref="B1:F1"/>
    <mergeCell ref="B3:F3"/>
    <mergeCell ref="B6:F6"/>
    <mergeCell ref="C10:F10"/>
    <mergeCell ref="A5:F5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64D1-1EA1-4E1A-B70C-378D54E673CA}">
  <sheetPr>
    <tabColor rgb="FFFFC000"/>
  </sheetPr>
  <dimension ref="A1:AW33"/>
  <sheetViews>
    <sheetView tabSelected="1" zoomScaleNormal="100" workbookViewId="0">
      <selection activeCell="B1" sqref="B1:O1"/>
    </sheetView>
  </sheetViews>
  <sheetFormatPr defaultRowHeight="12.75" x14ac:dyDescent="0.2"/>
  <cols>
    <col min="1" max="1" width="5.85546875" style="492" customWidth="1"/>
    <col min="2" max="2" width="19.85546875" style="492" customWidth="1"/>
    <col min="3" max="13" width="9.5703125" style="492" bestFit="1" customWidth="1"/>
    <col min="14" max="14" width="9.5703125" style="492" customWidth="1"/>
    <col min="15" max="15" width="10.85546875" style="492" bestFit="1" customWidth="1"/>
    <col min="16" max="16" width="11.140625" style="492" bestFit="1" customWidth="1"/>
    <col min="17" max="16384" width="9.140625" style="492"/>
  </cols>
  <sheetData>
    <row r="1" spans="1:49" s="218" customFormat="1" ht="27.75" customHeight="1" x14ac:dyDescent="0.2">
      <c r="B1" s="837" t="s">
        <v>604</v>
      </c>
      <c r="C1" s="837"/>
      <c r="D1" s="837"/>
      <c r="E1" s="837"/>
      <c r="F1" s="837"/>
      <c r="G1" s="837"/>
      <c r="H1" s="837"/>
      <c r="I1" s="837"/>
      <c r="J1" s="837"/>
      <c r="K1" s="837"/>
      <c r="L1" s="837"/>
      <c r="M1" s="837"/>
      <c r="N1" s="837"/>
      <c r="O1" s="837"/>
      <c r="P1" s="346"/>
      <c r="Q1" s="346"/>
      <c r="R1" s="346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  <c r="AO1" s="347"/>
      <c r="AP1" s="347"/>
      <c r="AQ1" s="347"/>
      <c r="AR1" s="347"/>
      <c r="AS1" s="347"/>
      <c r="AT1" s="347"/>
      <c r="AU1" s="347"/>
      <c r="AV1" s="347"/>
      <c r="AW1" s="347"/>
    </row>
    <row r="2" spans="1:49" s="218" customFormat="1" ht="12" x14ac:dyDescent="0.2">
      <c r="B2" s="220" t="s">
        <v>561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348"/>
      <c r="Q2" s="348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347"/>
      <c r="AN2" s="347"/>
      <c r="AO2" s="347"/>
      <c r="AP2" s="347"/>
      <c r="AQ2" s="347"/>
      <c r="AR2" s="347"/>
      <c r="AS2" s="347"/>
      <c r="AT2" s="347"/>
      <c r="AU2" s="347"/>
      <c r="AV2" s="347"/>
      <c r="AW2" s="347"/>
    </row>
    <row r="3" spans="1:49" s="218" customFormat="1" ht="12" x14ac:dyDescent="0.2">
      <c r="B3" s="220"/>
      <c r="C3" s="220"/>
      <c r="D3" s="220"/>
      <c r="E3" s="220"/>
      <c r="F3" s="220"/>
      <c r="G3" s="220"/>
      <c r="H3" s="220"/>
      <c r="I3" s="220"/>
      <c r="J3" s="220"/>
      <c r="K3" s="545"/>
      <c r="L3" s="545"/>
      <c r="M3" s="545"/>
      <c r="N3" s="545"/>
      <c r="O3" s="545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7"/>
      <c r="AK3" s="347"/>
      <c r="AL3" s="347"/>
      <c r="AM3" s="347"/>
      <c r="AN3" s="347"/>
      <c r="AO3" s="347"/>
      <c r="AP3" s="347"/>
      <c r="AQ3" s="347"/>
      <c r="AR3" s="347"/>
      <c r="AS3" s="347"/>
      <c r="AT3" s="347"/>
      <c r="AU3" s="347"/>
      <c r="AV3" s="347"/>
      <c r="AW3" s="347"/>
    </row>
    <row r="4" spans="1:49" s="218" customFormat="1" ht="22.5" customHeight="1" x14ac:dyDescent="0.3">
      <c r="B4" s="852" t="s">
        <v>562</v>
      </c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3"/>
      <c r="O4" s="853"/>
      <c r="P4" s="346"/>
      <c r="Q4" s="346"/>
      <c r="R4" s="346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47"/>
      <c r="AQ4" s="347"/>
      <c r="AR4" s="347"/>
      <c r="AS4" s="347"/>
      <c r="AT4" s="347"/>
      <c r="AU4" s="347"/>
      <c r="AV4" s="347"/>
      <c r="AW4" s="347"/>
    </row>
    <row r="5" spans="1:49" s="218" customFormat="1" ht="22.5" customHeight="1" x14ac:dyDescent="0.2">
      <c r="A5" s="646" t="s">
        <v>68</v>
      </c>
      <c r="B5" s="600" t="s">
        <v>76</v>
      </c>
      <c r="C5" s="600" t="s">
        <v>69</v>
      </c>
      <c r="D5" s="600" t="s">
        <v>70</v>
      </c>
      <c r="E5" s="600" t="s">
        <v>71</v>
      </c>
      <c r="F5" s="600" t="s">
        <v>78</v>
      </c>
      <c r="G5" s="600" t="s">
        <v>80</v>
      </c>
      <c r="H5" s="600" t="s">
        <v>81</v>
      </c>
      <c r="I5" s="600" t="s">
        <v>82</v>
      </c>
      <c r="J5" s="600" t="s">
        <v>83</v>
      </c>
      <c r="K5" s="600" t="s">
        <v>120</v>
      </c>
      <c r="L5" s="600" t="s">
        <v>110</v>
      </c>
      <c r="M5" s="600" t="s">
        <v>212</v>
      </c>
      <c r="N5" s="600" t="s">
        <v>111</v>
      </c>
      <c r="O5" s="600" t="s">
        <v>213</v>
      </c>
      <c r="P5" s="346"/>
      <c r="Q5" s="346"/>
      <c r="R5" s="346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  <c r="AQ5" s="347"/>
      <c r="AR5" s="347"/>
      <c r="AS5" s="347"/>
      <c r="AT5" s="347"/>
      <c r="AU5" s="347"/>
      <c r="AV5" s="347"/>
      <c r="AW5" s="347"/>
    </row>
    <row r="6" spans="1:49" ht="22.5" customHeight="1" x14ac:dyDescent="0.2">
      <c r="A6" s="647" t="s">
        <v>1</v>
      </c>
      <c r="B6" s="639" t="s">
        <v>77</v>
      </c>
      <c r="C6" s="639" t="s">
        <v>476</v>
      </c>
      <c r="D6" s="639" t="s">
        <v>477</v>
      </c>
      <c r="E6" s="639" t="s">
        <v>478</v>
      </c>
      <c r="F6" s="639" t="s">
        <v>479</v>
      </c>
      <c r="G6" s="639" t="s">
        <v>480</v>
      </c>
      <c r="H6" s="639" t="s">
        <v>409</v>
      </c>
      <c r="I6" s="639" t="s">
        <v>410</v>
      </c>
      <c r="J6" s="639" t="s">
        <v>481</v>
      </c>
      <c r="K6" s="639" t="s">
        <v>412</v>
      </c>
      <c r="L6" s="639" t="s">
        <v>482</v>
      </c>
      <c r="M6" s="639" t="s">
        <v>483</v>
      </c>
      <c r="N6" s="639" t="s">
        <v>484</v>
      </c>
      <c r="O6" s="639" t="s">
        <v>100</v>
      </c>
    </row>
    <row r="7" spans="1:49" x14ac:dyDescent="0.2">
      <c r="A7" s="647" t="s">
        <v>3</v>
      </c>
      <c r="B7" s="642" t="s">
        <v>485</v>
      </c>
      <c r="C7" s="643">
        <v>248085022</v>
      </c>
      <c r="D7" s="643">
        <f ca="1">C19-C31</f>
        <v>227715109.24999997</v>
      </c>
      <c r="E7" s="643">
        <f t="shared" ref="E7:N7" ca="1" si="0">D19-D31</f>
        <v>229566919.49999997</v>
      </c>
      <c r="F7" s="643">
        <f t="shared" ca="1" si="0"/>
        <v>231418729.74999997</v>
      </c>
      <c r="G7" s="643">
        <f t="shared" ca="1" si="0"/>
        <v>233270539.99999997</v>
      </c>
      <c r="H7" s="643">
        <f t="shared" ca="1" si="0"/>
        <v>235122350.24999997</v>
      </c>
      <c r="I7" s="643">
        <f t="shared" ca="1" si="0"/>
        <v>236974160.49999997</v>
      </c>
      <c r="J7" s="643">
        <f t="shared" ca="1" si="0"/>
        <v>238825970.74999997</v>
      </c>
      <c r="K7" s="643">
        <f t="shared" ca="1" si="0"/>
        <v>240677780.99999997</v>
      </c>
      <c r="L7" s="643">
        <f t="shared" ca="1" si="0"/>
        <v>242529591.24999997</v>
      </c>
      <c r="M7" s="643">
        <f t="shared" ca="1" si="0"/>
        <v>244381401.49999997</v>
      </c>
      <c r="N7" s="643">
        <f t="shared" ca="1" si="0"/>
        <v>246233211.74999997</v>
      </c>
      <c r="O7" s="643"/>
    </row>
    <row r="8" spans="1:49" x14ac:dyDescent="0.2">
      <c r="A8" s="647" t="s">
        <v>4</v>
      </c>
      <c r="B8" s="843" t="s">
        <v>486</v>
      </c>
      <c r="C8" s="844"/>
      <c r="D8" s="844"/>
      <c r="E8" s="844"/>
      <c r="F8" s="844"/>
      <c r="G8" s="844"/>
      <c r="H8" s="844"/>
      <c r="I8" s="844"/>
      <c r="J8" s="844"/>
      <c r="K8" s="844"/>
      <c r="L8" s="844"/>
      <c r="M8" s="844"/>
      <c r="N8" s="844"/>
      <c r="O8" s="845"/>
    </row>
    <row r="9" spans="1:49" x14ac:dyDescent="0.2">
      <c r="A9" s="647" t="s">
        <v>6</v>
      </c>
      <c r="B9" s="846"/>
      <c r="C9" s="847"/>
      <c r="D9" s="847"/>
      <c r="E9" s="847"/>
      <c r="F9" s="847"/>
      <c r="G9" s="847"/>
      <c r="H9" s="847"/>
      <c r="I9" s="847"/>
      <c r="J9" s="847"/>
      <c r="K9" s="847"/>
      <c r="L9" s="847"/>
      <c r="M9" s="847"/>
      <c r="N9" s="847"/>
      <c r="O9" s="848"/>
    </row>
    <row r="10" spans="1:49" x14ac:dyDescent="0.2">
      <c r="A10" s="647" t="s">
        <v>8</v>
      </c>
      <c r="B10" s="645" t="s">
        <v>487</v>
      </c>
      <c r="C10" s="637">
        <f>'1.melléklet.Önkormányzat'!D9/12</f>
        <v>47050388.916666664</v>
      </c>
      <c r="D10" s="637">
        <f t="shared" ref="D10:D15" si="1">+C10</f>
        <v>47050388.916666664</v>
      </c>
      <c r="E10" s="637">
        <f t="shared" ref="E10:N10" si="2">+D10</f>
        <v>47050388.916666664</v>
      </c>
      <c r="F10" s="637">
        <f t="shared" si="2"/>
        <v>47050388.916666664</v>
      </c>
      <c r="G10" s="637">
        <f t="shared" si="2"/>
        <v>47050388.916666664</v>
      </c>
      <c r="H10" s="637">
        <f t="shared" si="2"/>
        <v>47050388.916666664</v>
      </c>
      <c r="I10" s="637">
        <f t="shared" si="2"/>
        <v>47050388.916666664</v>
      </c>
      <c r="J10" s="637">
        <f t="shared" si="2"/>
        <v>47050388.916666664</v>
      </c>
      <c r="K10" s="637">
        <f t="shared" si="2"/>
        <v>47050388.916666664</v>
      </c>
      <c r="L10" s="637">
        <f t="shared" si="2"/>
        <v>47050388.916666664</v>
      </c>
      <c r="M10" s="637">
        <f t="shared" si="2"/>
        <v>47050388.916666664</v>
      </c>
      <c r="N10" s="637">
        <f t="shared" si="2"/>
        <v>47050388.916666664</v>
      </c>
      <c r="O10" s="637">
        <f>SUM(C10:N10)</f>
        <v>564604667.00000012</v>
      </c>
    </row>
    <row r="11" spans="1:49" x14ac:dyDescent="0.2">
      <c r="A11" s="647" t="s">
        <v>22</v>
      </c>
      <c r="B11" s="645" t="s">
        <v>488</v>
      </c>
      <c r="C11" s="637">
        <f>+'1.melléklet.Önkormányzat'!D17/12</f>
        <v>5926137.416666667</v>
      </c>
      <c r="D11" s="637">
        <f t="shared" si="1"/>
        <v>5926137.416666667</v>
      </c>
      <c r="E11" s="637">
        <f t="shared" ref="E11:N11" si="3">+D11</f>
        <v>5926137.416666667</v>
      </c>
      <c r="F11" s="637">
        <f t="shared" si="3"/>
        <v>5926137.416666667</v>
      </c>
      <c r="G11" s="637">
        <f t="shared" si="3"/>
        <v>5926137.416666667</v>
      </c>
      <c r="H11" s="637">
        <f t="shared" si="3"/>
        <v>5926137.416666667</v>
      </c>
      <c r="I11" s="637">
        <f t="shared" si="3"/>
        <v>5926137.416666667</v>
      </c>
      <c r="J11" s="637">
        <f t="shared" si="3"/>
        <v>5926137.416666667</v>
      </c>
      <c r="K11" s="637">
        <f t="shared" si="3"/>
        <v>5926137.416666667</v>
      </c>
      <c r="L11" s="637">
        <f t="shared" si="3"/>
        <v>5926137.416666667</v>
      </c>
      <c r="M11" s="637">
        <f t="shared" si="3"/>
        <v>5926137.416666667</v>
      </c>
      <c r="N11" s="637">
        <f t="shared" si="3"/>
        <v>5926137.416666667</v>
      </c>
      <c r="O11" s="637">
        <f t="shared" ref="O11:O16" si="4">SUM(C11:N11)</f>
        <v>71113648.999999985</v>
      </c>
    </row>
    <row r="12" spans="1:49" x14ac:dyDescent="0.2">
      <c r="A12" s="647" t="s">
        <v>24</v>
      </c>
      <c r="B12" s="645" t="s">
        <v>73</v>
      </c>
      <c r="C12" s="637">
        <f>'1.melléklet.Önkormányzat'!D25/12</f>
        <v>6625000</v>
      </c>
      <c r="D12" s="637">
        <f t="shared" si="1"/>
        <v>6625000</v>
      </c>
      <c r="E12" s="637">
        <f t="shared" ref="E12:N12" si="5">+D12</f>
        <v>6625000</v>
      </c>
      <c r="F12" s="637">
        <f t="shared" si="5"/>
        <v>6625000</v>
      </c>
      <c r="G12" s="637">
        <f t="shared" si="5"/>
        <v>6625000</v>
      </c>
      <c r="H12" s="637">
        <f t="shared" si="5"/>
        <v>6625000</v>
      </c>
      <c r="I12" s="637">
        <f t="shared" si="5"/>
        <v>6625000</v>
      </c>
      <c r="J12" s="637">
        <f t="shared" si="5"/>
        <v>6625000</v>
      </c>
      <c r="K12" s="637">
        <f t="shared" si="5"/>
        <v>6625000</v>
      </c>
      <c r="L12" s="637">
        <f t="shared" si="5"/>
        <v>6625000</v>
      </c>
      <c r="M12" s="637">
        <f t="shared" si="5"/>
        <v>6625000</v>
      </c>
      <c r="N12" s="637">
        <f t="shared" si="5"/>
        <v>6625000</v>
      </c>
      <c r="O12" s="637">
        <f t="shared" si="4"/>
        <v>79500000</v>
      </c>
    </row>
    <row r="13" spans="1:49" x14ac:dyDescent="0.2">
      <c r="A13" s="647" t="s">
        <v>25</v>
      </c>
      <c r="B13" s="645" t="s">
        <v>74</v>
      </c>
      <c r="C13" s="637">
        <f ca="1">'1.melléklet.Önkormányzat'!D32/12</f>
        <v>8763641.166666666</v>
      </c>
      <c r="D13" s="637">
        <f t="shared" ca="1" si="1"/>
        <v>8763641.166666666</v>
      </c>
      <c r="E13" s="637">
        <f t="shared" ref="E13:N13" ca="1" si="6">+D13</f>
        <v>8763641.166666666</v>
      </c>
      <c r="F13" s="637">
        <f t="shared" ca="1" si="6"/>
        <v>8763641.166666666</v>
      </c>
      <c r="G13" s="637">
        <f t="shared" ca="1" si="6"/>
        <v>8763641.166666666</v>
      </c>
      <c r="H13" s="637">
        <f t="shared" ca="1" si="6"/>
        <v>8763641.166666666</v>
      </c>
      <c r="I13" s="637">
        <f t="shared" ca="1" si="6"/>
        <v>8763641.166666666</v>
      </c>
      <c r="J13" s="637">
        <f t="shared" ca="1" si="6"/>
        <v>8763641.166666666</v>
      </c>
      <c r="K13" s="637">
        <f t="shared" ca="1" si="6"/>
        <v>8763641.166666666</v>
      </c>
      <c r="L13" s="637">
        <f t="shared" ca="1" si="6"/>
        <v>8763641.166666666</v>
      </c>
      <c r="M13" s="637">
        <f t="shared" ca="1" si="6"/>
        <v>8763641.166666666</v>
      </c>
      <c r="N13" s="637">
        <f t="shared" ca="1" si="6"/>
        <v>8763641.166666666</v>
      </c>
      <c r="O13" s="637">
        <f t="shared" ca="1" si="4"/>
        <v>105163694.00000001</v>
      </c>
    </row>
    <row r="14" spans="1:49" x14ac:dyDescent="0.2">
      <c r="A14" s="647" t="s">
        <v>27</v>
      </c>
      <c r="B14" s="645" t="s">
        <v>489</v>
      </c>
      <c r="C14" s="637">
        <f>'1.melléklet.Önkormányzat'!D33/12</f>
        <v>799173.58333333337</v>
      </c>
      <c r="D14" s="637">
        <f t="shared" si="1"/>
        <v>799173.58333333337</v>
      </c>
      <c r="E14" s="637">
        <f t="shared" ref="E14:N14" si="7">+D14</f>
        <v>799173.58333333337</v>
      </c>
      <c r="F14" s="637">
        <f t="shared" si="7"/>
        <v>799173.58333333337</v>
      </c>
      <c r="G14" s="637">
        <f t="shared" si="7"/>
        <v>799173.58333333337</v>
      </c>
      <c r="H14" s="637">
        <f t="shared" si="7"/>
        <v>799173.58333333337</v>
      </c>
      <c r="I14" s="637">
        <f t="shared" si="7"/>
        <v>799173.58333333337</v>
      </c>
      <c r="J14" s="637">
        <f t="shared" si="7"/>
        <v>799173.58333333337</v>
      </c>
      <c r="K14" s="637">
        <f t="shared" si="7"/>
        <v>799173.58333333337</v>
      </c>
      <c r="L14" s="637">
        <f t="shared" si="7"/>
        <v>799173.58333333337</v>
      </c>
      <c r="M14" s="637">
        <f t="shared" si="7"/>
        <v>799173.58333333337</v>
      </c>
      <c r="N14" s="637">
        <f t="shared" si="7"/>
        <v>799173.58333333337</v>
      </c>
      <c r="O14" s="637">
        <f t="shared" si="4"/>
        <v>9590083</v>
      </c>
    </row>
    <row r="15" spans="1:49" x14ac:dyDescent="0.2">
      <c r="A15" s="647" t="s">
        <v>28</v>
      </c>
      <c r="B15" s="645" t="s">
        <v>576</v>
      </c>
      <c r="C15" s="637">
        <f>'1.melléklet.Önkormányzat'!D34/12</f>
        <v>50000</v>
      </c>
      <c r="D15" s="637">
        <f t="shared" si="1"/>
        <v>50000</v>
      </c>
      <c r="E15" s="637">
        <f t="shared" ref="E15:N16" si="8">+D15</f>
        <v>50000</v>
      </c>
      <c r="F15" s="637">
        <f t="shared" si="8"/>
        <v>50000</v>
      </c>
      <c r="G15" s="637">
        <f t="shared" si="8"/>
        <v>50000</v>
      </c>
      <c r="H15" s="637">
        <f t="shared" si="8"/>
        <v>50000</v>
      </c>
      <c r="I15" s="637">
        <f t="shared" si="8"/>
        <v>50000</v>
      </c>
      <c r="J15" s="637">
        <f t="shared" si="8"/>
        <v>50000</v>
      </c>
      <c r="K15" s="637">
        <f t="shared" si="8"/>
        <v>50000</v>
      </c>
      <c r="L15" s="637">
        <f t="shared" si="8"/>
        <v>50000</v>
      </c>
      <c r="M15" s="637">
        <f t="shared" si="8"/>
        <v>50000</v>
      </c>
      <c r="N15" s="637">
        <f t="shared" si="8"/>
        <v>50000</v>
      </c>
      <c r="O15" s="637">
        <f t="shared" si="4"/>
        <v>600000</v>
      </c>
    </row>
    <row r="16" spans="1:49" x14ac:dyDescent="0.2">
      <c r="A16" s="647" t="s">
        <v>29</v>
      </c>
      <c r="B16" s="645" t="s">
        <v>537</v>
      </c>
      <c r="C16" s="637">
        <f ca="1">'1.melléklet.Önkormányzat'!D44/12</f>
        <v>18797081.833333332</v>
      </c>
      <c r="D16" s="637">
        <f ca="1">+C16</f>
        <v>18797081.833333332</v>
      </c>
      <c r="E16" s="637">
        <f t="shared" ca="1" si="8"/>
        <v>18797081.833333332</v>
      </c>
      <c r="F16" s="637">
        <f t="shared" ca="1" si="8"/>
        <v>18797081.833333332</v>
      </c>
      <c r="G16" s="637">
        <f t="shared" ca="1" si="8"/>
        <v>18797081.833333332</v>
      </c>
      <c r="H16" s="637">
        <f t="shared" ca="1" si="8"/>
        <v>18797081.833333332</v>
      </c>
      <c r="I16" s="637">
        <f t="shared" ca="1" si="8"/>
        <v>18797081.833333332</v>
      </c>
      <c r="J16" s="637">
        <f t="shared" ca="1" si="8"/>
        <v>18797081.833333332</v>
      </c>
      <c r="K16" s="637">
        <f t="shared" ca="1" si="8"/>
        <v>18797081.833333332</v>
      </c>
      <c r="L16" s="637">
        <f t="shared" ca="1" si="8"/>
        <v>18797081.833333332</v>
      </c>
      <c r="M16" s="637">
        <f t="shared" ca="1" si="8"/>
        <v>18797081.833333332</v>
      </c>
      <c r="N16" s="637">
        <f t="shared" ca="1" si="8"/>
        <v>18797081.833333332</v>
      </c>
      <c r="O16" s="637">
        <f t="shared" ca="1" si="4"/>
        <v>225564982.00000003</v>
      </c>
    </row>
    <row r="17" spans="1:17" x14ac:dyDescent="0.2">
      <c r="A17" s="647" t="s">
        <v>31</v>
      </c>
      <c r="B17" s="641" t="s">
        <v>452</v>
      </c>
      <c r="C17" s="638">
        <f t="shared" ref="C17:N17" ca="1" si="9">SUM(C10:C16)</f>
        <v>88011422.916666657</v>
      </c>
      <c r="D17" s="638">
        <f t="shared" ca="1" si="9"/>
        <v>88011422.916666657</v>
      </c>
      <c r="E17" s="638">
        <f t="shared" ca="1" si="9"/>
        <v>88011422.916666657</v>
      </c>
      <c r="F17" s="638">
        <f t="shared" ca="1" si="9"/>
        <v>88011422.916666657</v>
      </c>
      <c r="G17" s="638">
        <f t="shared" ca="1" si="9"/>
        <v>88011422.916666657</v>
      </c>
      <c r="H17" s="638">
        <f t="shared" ca="1" si="9"/>
        <v>88011422.916666657</v>
      </c>
      <c r="I17" s="638">
        <f t="shared" ca="1" si="9"/>
        <v>88011422.916666657</v>
      </c>
      <c r="J17" s="638">
        <f t="shared" ca="1" si="9"/>
        <v>88011422.916666657</v>
      </c>
      <c r="K17" s="638">
        <f t="shared" ca="1" si="9"/>
        <v>88011422.916666657</v>
      </c>
      <c r="L17" s="638">
        <f t="shared" ca="1" si="9"/>
        <v>88011422.916666657</v>
      </c>
      <c r="M17" s="638">
        <f t="shared" ca="1" si="9"/>
        <v>88011422.916666657</v>
      </c>
      <c r="N17" s="638">
        <f t="shared" ca="1" si="9"/>
        <v>88011422.916666657</v>
      </c>
      <c r="O17" s="638">
        <f ca="1">SUM(C17:N17)</f>
        <v>1056137074.9999996</v>
      </c>
      <c r="P17" s="648"/>
    </row>
    <row r="18" spans="1:17" x14ac:dyDescent="0.2">
      <c r="A18" s="647" t="s">
        <v>32</v>
      </c>
      <c r="B18" s="854"/>
      <c r="C18" s="855"/>
      <c r="D18" s="855"/>
      <c r="E18" s="855"/>
      <c r="F18" s="855"/>
      <c r="G18" s="855"/>
      <c r="H18" s="855"/>
      <c r="I18" s="855"/>
      <c r="J18" s="855"/>
      <c r="K18" s="855"/>
      <c r="L18" s="855"/>
      <c r="M18" s="855"/>
      <c r="N18" s="855"/>
      <c r="O18" s="856"/>
    </row>
    <row r="19" spans="1:17" x14ac:dyDescent="0.2">
      <c r="A19" s="647" t="s">
        <v>35</v>
      </c>
      <c r="B19" s="640" t="s">
        <v>490</v>
      </c>
      <c r="C19" s="641">
        <f ca="1">C7+C17</f>
        <v>336096444.91666663</v>
      </c>
      <c r="D19" s="641">
        <f ca="1">D7+D17</f>
        <v>315726532.16666663</v>
      </c>
      <c r="E19" s="641">
        <f t="shared" ref="E19:N19" ca="1" si="10">E7+E17</f>
        <v>317578342.41666663</v>
      </c>
      <c r="F19" s="641">
        <f t="shared" ca="1" si="10"/>
        <v>319430152.66666663</v>
      </c>
      <c r="G19" s="641">
        <f t="shared" ca="1" si="10"/>
        <v>321281962.91666663</v>
      </c>
      <c r="H19" s="641">
        <f t="shared" ca="1" si="10"/>
        <v>323133773.16666663</v>
      </c>
      <c r="I19" s="641">
        <f t="shared" ca="1" si="10"/>
        <v>324985583.41666663</v>
      </c>
      <c r="J19" s="641">
        <f t="shared" ca="1" si="10"/>
        <v>326837393.66666663</v>
      </c>
      <c r="K19" s="641">
        <f t="shared" ca="1" si="10"/>
        <v>328689203.91666663</v>
      </c>
      <c r="L19" s="641">
        <f t="shared" ca="1" si="10"/>
        <v>330541014.16666663</v>
      </c>
      <c r="M19" s="641">
        <f t="shared" ca="1" si="10"/>
        <v>332392824.41666663</v>
      </c>
      <c r="N19" s="641">
        <f t="shared" ca="1" si="10"/>
        <v>334244634.66666663</v>
      </c>
      <c r="O19" s="641">
        <v>0</v>
      </c>
    </row>
    <row r="20" spans="1:17" x14ac:dyDescent="0.2">
      <c r="A20" s="647" t="s">
        <v>37</v>
      </c>
      <c r="B20" s="843" t="s">
        <v>491</v>
      </c>
      <c r="C20" s="844"/>
      <c r="D20" s="844"/>
      <c r="E20" s="844"/>
      <c r="F20" s="844"/>
      <c r="G20" s="844"/>
      <c r="H20" s="844"/>
      <c r="I20" s="844"/>
      <c r="J20" s="844"/>
      <c r="K20" s="844"/>
      <c r="L20" s="844"/>
      <c r="M20" s="844"/>
      <c r="N20" s="844"/>
      <c r="O20" s="845"/>
    </row>
    <row r="21" spans="1:17" x14ac:dyDescent="0.2">
      <c r="A21" s="647" t="s">
        <v>72</v>
      </c>
      <c r="B21" s="846"/>
      <c r="C21" s="847"/>
      <c r="D21" s="847"/>
      <c r="E21" s="847"/>
      <c r="F21" s="847"/>
      <c r="G21" s="847"/>
      <c r="H21" s="847"/>
      <c r="I21" s="847"/>
      <c r="J21" s="847"/>
      <c r="K21" s="847"/>
      <c r="L21" s="847"/>
      <c r="M21" s="847"/>
      <c r="N21" s="847"/>
      <c r="O21" s="848"/>
    </row>
    <row r="22" spans="1:17" x14ac:dyDescent="0.2">
      <c r="A22" s="647" t="s">
        <v>40</v>
      </c>
      <c r="B22" s="645" t="s">
        <v>492</v>
      </c>
      <c r="C22" s="637">
        <f>'1.melléklet.Önkormányzat'!D52/12</f>
        <v>35607875.5</v>
      </c>
      <c r="D22" s="637">
        <f t="shared" ref="D22:D28" si="11">+C22</f>
        <v>35607875.5</v>
      </c>
      <c r="E22" s="637">
        <f t="shared" ref="E22:N22" si="12">+D22</f>
        <v>35607875.5</v>
      </c>
      <c r="F22" s="637">
        <f t="shared" si="12"/>
        <v>35607875.5</v>
      </c>
      <c r="G22" s="637">
        <f t="shared" si="12"/>
        <v>35607875.5</v>
      </c>
      <c r="H22" s="637">
        <f t="shared" si="12"/>
        <v>35607875.5</v>
      </c>
      <c r="I22" s="637">
        <f t="shared" si="12"/>
        <v>35607875.5</v>
      </c>
      <c r="J22" s="637">
        <f t="shared" si="12"/>
        <v>35607875.5</v>
      </c>
      <c r="K22" s="637">
        <f t="shared" si="12"/>
        <v>35607875.5</v>
      </c>
      <c r="L22" s="637">
        <f t="shared" si="12"/>
        <v>35607875.5</v>
      </c>
      <c r="M22" s="637">
        <f t="shared" si="12"/>
        <v>35607875.5</v>
      </c>
      <c r="N22" s="637">
        <f t="shared" si="12"/>
        <v>35607875.5</v>
      </c>
      <c r="O22" s="637">
        <f>SUM(C22:N22)</f>
        <v>427294506</v>
      </c>
    </row>
    <row r="23" spans="1:17" x14ac:dyDescent="0.2">
      <c r="A23" s="647" t="s">
        <v>42</v>
      </c>
      <c r="B23" s="645" t="s">
        <v>493</v>
      </c>
      <c r="C23" s="637">
        <f>'1.melléklet.Önkormányzat'!D53/12</f>
        <v>5530100.583333333</v>
      </c>
      <c r="D23" s="637">
        <f t="shared" si="11"/>
        <v>5530100.583333333</v>
      </c>
      <c r="E23" s="637">
        <f t="shared" ref="E23:N23" si="13">+D23</f>
        <v>5530100.583333333</v>
      </c>
      <c r="F23" s="637">
        <f t="shared" si="13"/>
        <v>5530100.583333333</v>
      </c>
      <c r="G23" s="637">
        <f t="shared" si="13"/>
        <v>5530100.583333333</v>
      </c>
      <c r="H23" s="637">
        <f t="shared" si="13"/>
        <v>5530100.583333333</v>
      </c>
      <c r="I23" s="637">
        <f t="shared" si="13"/>
        <v>5530100.583333333</v>
      </c>
      <c r="J23" s="637">
        <f t="shared" si="13"/>
        <v>5530100.583333333</v>
      </c>
      <c r="K23" s="637">
        <f t="shared" si="13"/>
        <v>5530100.583333333</v>
      </c>
      <c r="L23" s="637">
        <f t="shared" si="13"/>
        <v>5530100.583333333</v>
      </c>
      <c r="M23" s="637">
        <f t="shared" si="13"/>
        <v>5530100.583333333</v>
      </c>
      <c r="N23" s="637">
        <f t="shared" si="13"/>
        <v>5530100.583333333</v>
      </c>
      <c r="O23" s="637">
        <f t="shared" ref="O23:O31" si="14">SUM(C23:N23)</f>
        <v>66361207.000000007</v>
      </c>
    </row>
    <row r="24" spans="1:17" x14ac:dyDescent="0.2">
      <c r="A24" s="647" t="s">
        <v>158</v>
      </c>
      <c r="B24" s="645" t="s">
        <v>47</v>
      </c>
      <c r="C24" s="637">
        <f>'1.melléklet.Önkormányzat'!D54/12</f>
        <v>21675629.5</v>
      </c>
      <c r="D24" s="637">
        <f t="shared" si="11"/>
        <v>21675629.5</v>
      </c>
      <c r="E24" s="637">
        <f t="shared" ref="E24:N24" si="15">+D24</f>
        <v>21675629.5</v>
      </c>
      <c r="F24" s="637">
        <f t="shared" si="15"/>
        <v>21675629.5</v>
      </c>
      <c r="G24" s="637">
        <f t="shared" si="15"/>
        <v>21675629.5</v>
      </c>
      <c r="H24" s="637">
        <f t="shared" si="15"/>
        <v>21675629.5</v>
      </c>
      <c r="I24" s="637">
        <f t="shared" si="15"/>
        <v>21675629.5</v>
      </c>
      <c r="J24" s="637">
        <f t="shared" si="15"/>
        <v>21675629.5</v>
      </c>
      <c r="K24" s="637">
        <f t="shared" si="15"/>
        <v>21675629.5</v>
      </c>
      <c r="L24" s="637">
        <f t="shared" si="15"/>
        <v>21675629.5</v>
      </c>
      <c r="M24" s="637">
        <f t="shared" si="15"/>
        <v>21675629.5</v>
      </c>
      <c r="N24" s="637">
        <f t="shared" si="15"/>
        <v>21675629.5</v>
      </c>
      <c r="O24" s="637">
        <f t="shared" si="14"/>
        <v>260107554</v>
      </c>
    </row>
    <row r="25" spans="1:17" x14ac:dyDescent="0.2">
      <c r="A25" s="647" t="s">
        <v>159</v>
      </c>
      <c r="B25" s="645" t="s">
        <v>48</v>
      </c>
      <c r="C25" s="637">
        <f>'1.melléklet.Önkormányzat'!D55/12</f>
        <v>2481166.6666666665</v>
      </c>
      <c r="D25" s="637">
        <f t="shared" si="11"/>
        <v>2481166.6666666665</v>
      </c>
      <c r="E25" s="637">
        <f t="shared" ref="E25:N25" si="16">+D25</f>
        <v>2481166.6666666665</v>
      </c>
      <c r="F25" s="637">
        <f t="shared" si="16"/>
        <v>2481166.6666666665</v>
      </c>
      <c r="G25" s="637">
        <f t="shared" si="16"/>
        <v>2481166.6666666665</v>
      </c>
      <c r="H25" s="637">
        <f t="shared" si="16"/>
        <v>2481166.6666666665</v>
      </c>
      <c r="I25" s="637">
        <f t="shared" si="16"/>
        <v>2481166.6666666665</v>
      </c>
      <c r="J25" s="637">
        <f t="shared" si="16"/>
        <v>2481166.6666666665</v>
      </c>
      <c r="K25" s="637">
        <f t="shared" si="16"/>
        <v>2481166.6666666665</v>
      </c>
      <c r="L25" s="637">
        <f t="shared" si="16"/>
        <v>2481166.6666666665</v>
      </c>
      <c r="M25" s="637">
        <f t="shared" si="16"/>
        <v>2481166.6666666665</v>
      </c>
      <c r="N25" s="637">
        <f t="shared" si="16"/>
        <v>2481166.6666666665</v>
      </c>
      <c r="O25" s="637">
        <f t="shared" si="14"/>
        <v>29774000.000000004</v>
      </c>
    </row>
    <row r="26" spans="1:17" x14ac:dyDescent="0.2">
      <c r="A26" s="647" t="s">
        <v>160</v>
      </c>
      <c r="B26" s="645" t="s">
        <v>494</v>
      </c>
      <c r="C26" s="637">
        <f>'1.melléklet.Önkormányzat'!D56/12</f>
        <v>2713083.3333333335</v>
      </c>
      <c r="D26" s="637">
        <f t="shared" si="11"/>
        <v>2713083.3333333335</v>
      </c>
      <c r="E26" s="637">
        <f t="shared" ref="E26:N27" si="17">+D26</f>
        <v>2713083.3333333335</v>
      </c>
      <c r="F26" s="637">
        <f t="shared" si="17"/>
        <v>2713083.3333333335</v>
      </c>
      <c r="G26" s="637">
        <f t="shared" si="17"/>
        <v>2713083.3333333335</v>
      </c>
      <c r="H26" s="637">
        <f t="shared" si="17"/>
        <v>2713083.3333333335</v>
      </c>
      <c r="I26" s="637">
        <f t="shared" si="17"/>
        <v>2713083.3333333335</v>
      </c>
      <c r="J26" s="637">
        <f t="shared" si="17"/>
        <v>2713083.3333333335</v>
      </c>
      <c r="K26" s="637">
        <f t="shared" si="17"/>
        <v>2713083.3333333335</v>
      </c>
      <c r="L26" s="637">
        <f t="shared" si="17"/>
        <v>2713083.3333333335</v>
      </c>
      <c r="M26" s="637">
        <f t="shared" si="17"/>
        <v>2713083.3333333335</v>
      </c>
      <c r="N26" s="637">
        <f t="shared" si="17"/>
        <v>2713083.3333333335</v>
      </c>
      <c r="O26" s="637">
        <f t="shared" si="14"/>
        <v>32556999.999999996</v>
      </c>
    </row>
    <row r="27" spans="1:17" x14ac:dyDescent="0.2">
      <c r="A27" s="647" t="s">
        <v>161</v>
      </c>
      <c r="B27" s="645" t="s">
        <v>125</v>
      </c>
      <c r="C27" s="637">
        <f>'1.melléklet.Önkormányzat'!D57/12</f>
        <v>6969090.583333333</v>
      </c>
      <c r="D27" s="637">
        <f t="shared" si="11"/>
        <v>6969090.583333333</v>
      </c>
      <c r="E27" s="637">
        <f t="shared" si="17"/>
        <v>6969090.583333333</v>
      </c>
      <c r="F27" s="637">
        <f t="shared" si="17"/>
        <v>6969090.583333333</v>
      </c>
      <c r="G27" s="637">
        <f t="shared" si="17"/>
        <v>6969090.583333333</v>
      </c>
      <c r="H27" s="637">
        <f t="shared" si="17"/>
        <v>6969090.583333333</v>
      </c>
      <c r="I27" s="637">
        <f t="shared" si="17"/>
        <v>6969090.583333333</v>
      </c>
      <c r="J27" s="637">
        <f t="shared" si="17"/>
        <v>6969090.583333333</v>
      </c>
      <c r="K27" s="637">
        <f t="shared" si="17"/>
        <v>6969090.583333333</v>
      </c>
      <c r="L27" s="637">
        <f t="shared" si="17"/>
        <v>6969090.583333333</v>
      </c>
      <c r="M27" s="637">
        <f t="shared" si="17"/>
        <v>6969090.583333333</v>
      </c>
      <c r="N27" s="637">
        <f t="shared" si="17"/>
        <v>6969090.583333333</v>
      </c>
      <c r="O27" s="637">
        <f t="shared" si="14"/>
        <v>83629087</v>
      </c>
    </row>
    <row r="28" spans="1:17" x14ac:dyDescent="0.2">
      <c r="A28" s="647" t="s">
        <v>162</v>
      </c>
      <c r="B28" s="645" t="s">
        <v>495</v>
      </c>
      <c r="C28" s="637">
        <f>'1.melléklet.Önkormányzat'!D60/12</f>
        <v>11182666.5</v>
      </c>
      <c r="D28" s="637">
        <f t="shared" si="11"/>
        <v>11182666.5</v>
      </c>
      <c r="E28" s="637">
        <f t="shared" ref="E28:N28" si="18">+D28</f>
        <v>11182666.5</v>
      </c>
      <c r="F28" s="637">
        <f t="shared" si="18"/>
        <v>11182666.5</v>
      </c>
      <c r="G28" s="637">
        <f t="shared" si="18"/>
        <v>11182666.5</v>
      </c>
      <c r="H28" s="637">
        <f t="shared" si="18"/>
        <v>11182666.5</v>
      </c>
      <c r="I28" s="637">
        <f t="shared" si="18"/>
        <v>11182666.5</v>
      </c>
      <c r="J28" s="637">
        <f t="shared" si="18"/>
        <v>11182666.5</v>
      </c>
      <c r="K28" s="637">
        <f t="shared" si="18"/>
        <v>11182666.5</v>
      </c>
      <c r="L28" s="637">
        <f t="shared" si="18"/>
        <v>11182666.5</v>
      </c>
      <c r="M28" s="637">
        <f t="shared" si="18"/>
        <v>11182666.5</v>
      </c>
      <c r="N28" s="637">
        <f t="shared" si="18"/>
        <v>11182666.5</v>
      </c>
      <c r="O28" s="637">
        <f t="shared" si="14"/>
        <v>134191998</v>
      </c>
    </row>
    <row r="29" spans="1:17" x14ac:dyDescent="0.2">
      <c r="A29" s="647" t="s">
        <v>163</v>
      </c>
      <c r="B29" s="645" t="s">
        <v>496</v>
      </c>
      <c r="C29" s="637">
        <v>0</v>
      </c>
      <c r="D29" s="637">
        <v>0</v>
      </c>
      <c r="E29" s="637">
        <v>0</v>
      </c>
      <c r="F29" s="637">
        <v>0</v>
      </c>
      <c r="G29" s="637">
        <v>0</v>
      </c>
      <c r="H29" s="637">
        <v>0</v>
      </c>
      <c r="I29" s="637"/>
      <c r="J29" s="637">
        <v>0</v>
      </c>
      <c r="K29" s="637"/>
      <c r="L29" s="637">
        <v>0</v>
      </c>
      <c r="M29" s="637"/>
      <c r="N29" s="637">
        <v>0</v>
      </c>
      <c r="O29" s="637">
        <f t="shared" si="14"/>
        <v>0</v>
      </c>
    </row>
    <row r="30" spans="1:17" x14ac:dyDescent="0.2">
      <c r="A30" s="647" t="s">
        <v>164</v>
      </c>
      <c r="B30" s="645" t="s">
        <v>497</v>
      </c>
      <c r="C30" s="637">
        <f>'1.melléklet.Önkormányzat'!D70</f>
        <v>22221723</v>
      </c>
      <c r="D30" s="637">
        <v>0</v>
      </c>
      <c r="E30" s="637">
        <v>0</v>
      </c>
      <c r="F30" s="637">
        <v>0</v>
      </c>
      <c r="G30" s="637">
        <v>0</v>
      </c>
      <c r="H30" s="637">
        <v>0</v>
      </c>
      <c r="I30" s="637">
        <v>0</v>
      </c>
      <c r="J30" s="637">
        <v>0</v>
      </c>
      <c r="K30" s="637">
        <v>0</v>
      </c>
      <c r="L30" s="637">
        <v>0</v>
      </c>
      <c r="M30" s="637">
        <v>0</v>
      </c>
      <c r="N30" s="637">
        <v>0</v>
      </c>
      <c r="O30" s="637">
        <f t="shared" si="14"/>
        <v>22221723</v>
      </c>
    </row>
    <row r="31" spans="1:17" x14ac:dyDescent="0.2">
      <c r="A31" s="647" t="s">
        <v>165</v>
      </c>
      <c r="B31" s="641" t="s">
        <v>498</v>
      </c>
      <c r="C31" s="641">
        <f>SUM(C22:C30)</f>
        <v>108381335.66666666</v>
      </c>
      <c r="D31" s="641">
        <f t="shared" ref="D31:N31" si="19">SUM(D22:D30)</f>
        <v>86159612.666666657</v>
      </c>
      <c r="E31" s="641">
        <f t="shared" si="19"/>
        <v>86159612.666666657</v>
      </c>
      <c r="F31" s="641">
        <f t="shared" si="19"/>
        <v>86159612.666666657</v>
      </c>
      <c r="G31" s="641">
        <f t="shared" si="19"/>
        <v>86159612.666666657</v>
      </c>
      <c r="H31" s="641">
        <f t="shared" si="19"/>
        <v>86159612.666666657</v>
      </c>
      <c r="I31" s="641">
        <f t="shared" si="19"/>
        <v>86159612.666666657</v>
      </c>
      <c r="J31" s="641">
        <f t="shared" si="19"/>
        <v>86159612.666666657</v>
      </c>
      <c r="K31" s="641">
        <f t="shared" si="19"/>
        <v>86159612.666666657</v>
      </c>
      <c r="L31" s="641">
        <f t="shared" si="19"/>
        <v>86159612.666666657</v>
      </c>
      <c r="M31" s="641">
        <f t="shared" si="19"/>
        <v>86159612.666666657</v>
      </c>
      <c r="N31" s="641">
        <f t="shared" si="19"/>
        <v>86159612.666666657</v>
      </c>
      <c r="O31" s="638">
        <f t="shared" si="14"/>
        <v>1056137074.9999996</v>
      </c>
      <c r="P31" s="644"/>
      <c r="Q31" s="546"/>
    </row>
    <row r="32" spans="1:17" x14ac:dyDescent="0.2">
      <c r="A32" s="647" t="s">
        <v>166</v>
      </c>
      <c r="B32" s="849"/>
      <c r="C32" s="850"/>
      <c r="D32" s="850"/>
      <c r="E32" s="850"/>
      <c r="F32" s="850"/>
      <c r="G32" s="850"/>
      <c r="H32" s="850"/>
      <c r="I32" s="850"/>
      <c r="J32" s="850"/>
      <c r="K32" s="850"/>
      <c r="L32" s="850"/>
      <c r="M32" s="850"/>
      <c r="N32" s="850"/>
      <c r="O32" s="851"/>
      <c r="Q32" s="546"/>
    </row>
    <row r="33" spans="1:17" x14ac:dyDescent="0.2">
      <c r="A33" s="647" t="s">
        <v>167</v>
      </c>
      <c r="B33" s="640" t="s">
        <v>499</v>
      </c>
      <c r="C33" s="641">
        <f ca="1">C19-C31</f>
        <v>227715109.24999997</v>
      </c>
      <c r="D33" s="641">
        <f t="shared" ref="D33:M33" ca="1" si="20">D19-D31</f>
        <v>229566919.49999997</v>
      </c>
      <c r="E33" s="641">
        <f t="shared" ca="1" si="20"/>
        <v>231418729.74999997</v>
      </c>
      <c r="F33" s="641">
        <f t="shared" ca="1" si="20"/>
        <v>233270539.99999997</v>
      </c>
      <c r="G33" s="641">
        <f t="shared" ca="1" si="20"/>
        <v>235122350.24999997</v>
      </c>
      <c r="H33" s="641">
        <f t="shared" ca="1" si="20"/>
        <v>236974160.49999997</v>
      </c>
      <c r="I33" s="641">
        <f t="shared" ca="1" si="20"/>
        <v>238825970.74999997</v>
      </c>
      <c r="J33" s="641">
        <f t="shared" ca="1" si="20"/>
        <v>240677780.99999997</v>
      </c>
      <c r="K33" s="641">
        <f t="shared" ca="1" si="20"/>
        <v>242529591.24999997</v>
      </c>
      <c r="L33" s="641">
        <f t="shared" ca="1" si="20"/>
        <v>244381401.49999997</v>
      </c>
      <c r="M33" s="641">
        <f t="shared" ca="1" si="20"/>
        <v>246233211.74999997</v>
      </c>
      <c r="N33" s="641">
        <f ca="1">N19-N31</f>
        <v>248085021.99999997</v>
      </c>
      <c r="O33" s="641">
        <v>0</v>
      </c>
      <c r="P33" s="644"/>
      <c r="Q33" s="546"/>
    </row>
  </sheetData>
  <mergeCells count="6">
    <mergeCell ref="B20:O21"/>
    <mergeCell ref="B32:O32"/>
    <mergeCell ref="B1:O1"/>
    <mergeCell ref="B4:O4"/>
    <mergeCell ref="B8:O9"/>
    <mergeCell ref="B18:O18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W11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4" sqref="A4"/>
      <selection pane="bottomRight" sqref="A1:XFD1"/>
    </sheetView>
  </sheetViews>
  <sheetFormatPr defaultColWidth="9.28515625" defaultRowHeight="15" x14ac:dyDescent="0.25"/>
  <cols>
    <col min="1" max="1" width="6.28515625" style="52" customWidth="1"/>
    <col min="2" max="2" width="13.140625" style="52" customWidth="1"/>
    <col min="3" max="3" width="31.28515625" style="52" bestFit="1" customWidth="1"/>
    <col min="4" max="4" width="12.7109375" style="52" customWidth="1"/>
    <col min="5" max="5" width="8.42578125" style="52" bestFit="1" customWidth="1"/>
    <col min="6" max="6" width="10.5703125" style="52" bestFit="1" customWidth="1"/>
    <col min="7" max="7" width="7.85546875" style="52" bestFit="1" customWidth="1"/>
    <col min="8" max="8" width="10.5703125" style="52" bestFit="1" customWidth="1"/>
    <col min="9" max="9" width="7.85546875" style="52" bestFit="1" customWidth="1"/>
    <col min="10" max="10" width="10.5703125" style="52" bestFit="1" customWidth="1"/>
    <col min="11" max="11" width="7.85546875" style="52" bestFit="1" customWidth="1"/>
    <col min="12" max="12" width="9.5703125" style="52" bestFit="1" customWidth="1"/>
    <col min="13" max="13" width="7.85546875" style="52" bestFit="1" customWidth="1"/>
    <col min="14" max="14" width="10.5703125" style="52" customWidth="1"/>
    <col min="15" max="15" width="7.85546875" style="52" bestFit="1" customWidth="1"/>
    <col min="16" max="16" width="10.85546875" style="52" bestFit="1" customWidth="1"/>
    <col min="17" max="17" width="11.5703125" style="52" customWidth="1"/>
    <col min="18" max="18" width="10.5703125" style="52" bestFit="1" customWidth="1"/>
    <col min="19" max="19" width="8.85546875" style="52" bestFit="1" customWidth="1"/>
    <col min="20" max="20" width="12.5703125" style="52" customWidth="1"/>
    <col min="21" max="22" width="0" style="52" hidden="1" customWidth="1"/>
    <col min="23" max="23" width="11.28515625" style="52" bestFit="1" customWidth="1"/>
    <col min="24" max="16384" width="9.28515625" style="52"/>
  </cols>
  <sheetData>
    <row r="1" spans="1:23" s="760" customFormat="1" x14ac:dyDescent="0.25">
      <c r="A1" s="760" t="s">
        <v>585</v>
      </c>
    </row>
    <row r="2" spans="1:23" x14ac:dyDescent="0.25">
      <c r="A2" s="761" t="s">
        <v>543</v>
      </c>
      <c r="B2" s="761"/>
      <c r="C2" s="761"/>
      <c r="D2" s="761"/>
      <c r="E2" s="761"/>
      <c r="F2" s="761"/>
      <c r="G2" s="761"/>
      <c r="H2" s="761"/>
      <c r="I2" s="761"/>
      <c r="J2" s="761"/>
      <c r="K2" s="761"/>
      <c r="L2" s="761"/>
      <c r="M2" s="761"/>
      <c r="N2" s="761"/>
      <c r="O2" s="761"/>
      <c r="P2" s="761"/>
      <c r="Q2" s="761"/>
      <c r="R2" s="761"/>
      <c r="S2" s="761"/>
      <c r="T2" s="761"/>
    </row>
    <row r="3" spans="1:23" ht="74.25" customHeight="1" x14ac:dyDescent="0.25">
      <c r="A3" s="110"/>
      <c r="B3" s="110"/>
      <c r="C3" s="762" t="s">
        <v>559</v>
      </c>
      <c r="D3" s="762"/>
      <c r="E3" s="762"/>
      <c r="F3" s="762"/>
      <c r="G3" s="762"/>
      <c r="H3" s="762"/>
      <c r="I3" s="762"/>
      <c r="J3" s="762"/>
      <c r="K3" s="762"/>
      <c r="L3" s="762"/>
      <c r="M3" s="762"/>
      <c r="N3" s="762"/>
      <c r="O3" s="762"/>
      <c r="P3" s="762"/>
      <c r="Q3" s="762"/>
      <c r="R3" s="762"/>
      <c r="S3" s="762"/>
      <c r="T3" s="762"/>
      <c r="U3" s="762"/>
      <c r="V3" s="762"/>
      <c r="W3" s="763"/>
    </row>
    <row r="4" spans="1:23" ht="43.5" customHeight="1" x14ac:dyDescent="0.25">
      <c r="A4" s="66" t="s">
        <v>68</v>
      </c>
      <c r="B4" s="66" t="s">
        <v>76</v>
      </c>
      <c r="C4" s="112" t="s">
        <v>69</v>
      </c>
      <c r="D4" s="759" t="s">
        <v>70</v>
      </c>
      <c r="E4" s="759"/>
      <c r="F4" s="759" t="s">
        <v>71</v>
      </c>
      <c r="G4" s="759"/>
      <c r="H4" s="759" t="s">
        <v>78</v>
      </c>
      <c r="I4" s="759"/>
      <c r="J4" s="759" t="s">
        <v>80</v>
      </c>
      <c r="K4" s="759"/>
      <c r="L4" s="759" t="s">
        <v>81</v>
      </c>
      <c r="M4" s="759"/>
      <c r="N4" s="759" t="s">
        <v>82</v>
      </c>
      <c r="O4" s="759"/>
      <c r="P4" s="759" t="s">
        <v>83</v>
      </c>
      <c r="Q4" s="759"/>
      <c r="R4" s="759" t="s">
        <v>120</v>
      </c>
      <c r="S4" s="759"/>
      <c r="T4" s="759" t="s">
        <v>110</v>
      </c>
      <c r="U4" s="759"/>
      <c r="V4" s="759"/>
      <c r="W4" s="759"/>
    </row>
    <row r="5" spans="1:23" ht="81.75" customHeight="1" x14ac:dyDescent="0.25">
      <c r="A5" s="111" t="s">
        <v>1</v>
      </c>
      <c r="B5" s="54" t="s">
        <v>84</v>
      </c>
      <c r="C5" s="55" t="s">
        <v>85</v>
      </c>
      <c r="D5" s="758" t="s">
        <v>74</v>
      </c>
      <c r="E5" s="758"/>
      <c r="F5" s="758" t="s">
        <v>73</v>
      </c>
      <c r="G5" s="758"/>
      <c r="H5" s="758" t="s">
        <v>87</v>
      </c>
      <c r="I5" s="758"/>
      <c r="J5" s="758" t="s">
        <v>88</v>
      </c>
      <c r="K5" s="758"/>
      <c r="L5" s="758" t="s">
        <v>89</v>
      </c>
      <c r="M5" s="758"/>
      <c r="N5" s="758" t="s">
        <v>104</v>
      </c>
      <c r="O5" s="758"/>
      <c r="P5" s="758" t="s">
        <v>105</v>
      </c>
      <c r="Q5" s="758"/>
      <c r="R5" s="758" t="s">
        <v>139</v>
      </c>
      <c r="S5" s="758"/>
      <c r="T5" s="758" t="s">
        <v>91</v>
      </c>
      <c r="U5" s="758"/>
      <c r="V5" s="758"/>
      <c r="W5" s="758"/>
    </row>
    <row r="6" spans="1:23" ht="57" x14ac:dyDescent="0.25">
      <c r="A6" s="111" t="s">
        <v>3</v>
      </c>
      <c r="B6" s="53"/>
      <c r="C6" s="56" t="s">
        <v>106</v>
      </c>
      <c r="D6" s="108" t="s">
        <v>220</v>
      </c>
      <c r="E6" s="15" t="s">
        <v>219</v>
      </c>
      <c r="F6" s="108" t="s">
        <v>220</v>
      </c>
      <c r="G6" s="15" t="s">
        <v>219</v>
      </c>
      <c r="H6" s="108" t="s">
        <v>220</v>
      </c>
      <c r="I6" s="15" t="s">
        <v>219</v>
      </c>
      <c r="J6" s="108" t="s">
        <v>220</v>
      </c>
      <c r="K6" s="15" t="s">
        <v>219</v>
      </c>
      <c r="L6" s="108" t="s">
        <v>220</v>
      </c>
      <c r="M6" s="15" t="s">
        <v>219</v>
      </c>
      <c r="N6" s="108" t="s">
        <v>220</v>
      </c>
      <c r="O6" s="15" t="s">
        <v>219</v>
      </c>
      <c r="P6" s="108" t="s">
        <v>220</v>
      </c>
      <c r="Q6" s="15" t="s">
        <v>219</v>
      </c>
      <c r="R6" s="108" t="s">
        <v>220</v>
      </c>
      <c r="S6" s="15" t="s">
        <v>219</v>
      </c>
      <c r="T6" s="108" t="s">
        <v>220</v>
      </c>
      <c r="U6" s="15" t="s">
        <v>154</v>
      </c>
      <c r="V6" s="108" t="s">
        <v>155</v>
      </c>
      <c r="W6" s="15" t="s">
        <v>219</v>
      </c>
    </row>
    <row r="7" spans="1:23" x14ac:dyDescent="0.25">
      <c r="A7" s="111" t="s">
        <v>4</v>
      </c>
      <c r="B7" s="53" t="s">
        <v>138</v>
      </c>
      <c r="C7" s="58" t="s">
        <v>133</v>
      </c>
      <c r="D7" s="59"/>
      <c r="E7" s="59"/>
      <c r="F7" s="59"/>
      <c r="G7" s="59"/>
      <c r="H7" s="88"/>
      <c r="I7" s="88"/>
      <c r="J7" s="88"/>
      <c r="K7" s="88"/>
      <c r="L7" s="88"/>
      <c r="M7" s="88"/>
      <c r="N7" s="88"/>
      <c r="O7" s="88"/>
      <c r="P7" s="89"/>
      <c r="Q7" s="89"/>
      <c r="R7" s="89"/>
      <c r="S7" s="89"/>
      <c r="T7" s="90">
        <f>D7+F7+H7+J7+L7+P7</f>
        <v>0</v>
      </c>
      <c r="U7" s="90">
        <f t="shared" ref="U7:V7" si="0">E7+G7+I7+K7+M7+Q7</f>
        <v>0</v>
      </c>
      <c r="V7" s="90">
        <f t="shared" si="0"/>
        <v>0</v>
      </c>
      <c r="W7" s="90">
        <f>E7+G7+I7+K7+M7+O7+Q7+S7</f>
        <v>0</v>
      </c>
    </row>
    <row r="8" spans="1:23" x14ac:dyDescent="0.25">
      <c r="A8" s="111" t="s">
        <v>6</v>
      </c>
      <c r="B8" s="53" t="s">
        <v>93</v>
      </c>
      <c r="C8" s="58" t="s">
        <v>107</v>
      </c>
      <c r="D8" s="89">
        <v>247650</v>
      </c>
      <c r="E8" s="89">
        <f>D8</f>
        <v>247650</v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89">
        <v>125831834</v>
      </c>
      <c r="Q8" s="113">
        <v>125831834</v>
      </c>
      <c r="R8" s="89">
        <v>1072786</v>
      </c>
      <c r="S8" s="113">
        <f>1072786+55215</f>
        <v>1128001</v>
      </c>
      <c r="T8" s="90">
        <f>D8+F8+H8+J8+L8+P8+R8</f>
        <v>127152270</v>
      </c>
      <c r="U8" s="91">
        <v>218</v>
      </c>
      <c r="V8" s="91">
        <f>1673+87</f>
        <v>1760</v>
      </c>
      <c r="W8" s="158">
        <f>E8+G8+I8+K8+M8+O8+Q8+S8</f>
        <v>127207485</v>
      </c>
    </row>
    <row r="9" spans="1:23" ht="15.75" x14ac:dyDescent="0.25">
      <c r="A9" s="111" t="s">
        <v>8</v>
      </c>
      <c r="B9" s="53"/>
      <c r="C9" s="56" t="s">
        <v>108</v>
      </c>
      <c r="D9" s="90">
        <f>SUM(D7:D8)</f>
        <v>247650</v>
      </c>
      <c r="E9" s="90">
        <f t="shared" ref="E9:T9" si="1">SUM(E7:E8)</f>
        <v>247650</v>
      </c>
      <c r="F9" s="90">
        <f t="shared" si="1"/>
        <v>0</v>
      </c>
      <c r="G9" s="90">
        <f t="shared" si="1"/>
        <v>0</v>
      </c>
      <c r="H9" s="90">
        <f t="shared" si="1"/>
        <v>0</v>
      </c>
      <c r="I9" s="90">
        <f t="shared" si="1"/>
        <v>0</v>
      </c>
      <c r="J9" s="90">
        <f t="shared" si="1"/>
        <v>0</v>
      </c>
      <c r="K9" s="90">
        <f t="shared" si="1"/>
        <v>0</v>
      </c>
      <c r="L9" s="90">
        <f t="shared" si="1"/>
        <v>0</v>
      </c>
      <c r="M9" s="90">
        <f t="shared" si="1"/>
        <v>0</v>
      </c>
      <c r="N9" s="90">
        <f t="shared" si="1"/>
        <v>0</v>
      </c>
      <c r="O9" s="90">
        <f t="shared" si="1"/>
        <v>0</v>
      </c>
      <c r="P9" s="158">
        <f t="shared" si="1"/>
        <v>125831834</v>
      </c>
      <c r="Q9" s="158">
        <f t="shared" si="1"/>
        <v>125831834</v>
      </c>
      <c r="R9" s="158">
        <f t="shared" si="1"/>
        <v>1072786</v>
      </c>
      <c r="S9" s="158">
        <f t="shared" si="1"/>
        <v>1128001</v>
      </c>
      <c r="T9" s="158">
        <f t="shared" si="1"/>
        <v>127152270</v>
      </c>
      <c r="U9" s="158"/>
      <c r="V9" s="158"/>
      <c r="W9" s="158">
        <f>E9+G9+I9+K9+M9+O9+Q9+S9</f>
        <v>127207485</v>
      </c>
    </row>
    <row r="10" spans="1:23" x14ac:dyDescent="0.25">
      <c r="A10" s="111" t="s">
        <v>22</v>
      </c>
      <c r="B10" s="60"/>
      <c r="C10" s="60" t="s">
        <v>109</v>
      </c>
      <c r="D10" s="91">
        <f t="shared" ref="D10:W10" si="2">SUMIF($B7:$B8,"kötelező",D7:D8)</f>
        <v>247650</v>
      </c>
      <c r="E10" s="91">
        <f t="shared" si="2"/>
        <v>247650</v>
      </c>
      <c r="F10" s="91">
        <f t="shared" si="2"/>
        <v>0</v>
      </c>
      <c r="G10" s="91">
        <f t="shared" si="2"/>
        <v>0</v>
      </c>
      <c r="H10" s="91">
        <f t="shared" si="2"/>
        <v>0</v>
      </c>
      <c r="I10" s="91">
        <f t="shared" si="2"/>
        <v>0</v>
      </c>
      <c r="J10" s="91">
        <f t="shared" si="2"/>
        <v>0</v>
      </c>
      <c r="K10" s="91">
        <f t="shared" si="2"/>
        <v>0</v>
      </c>
      <c r="L10" s="91">
        <f t="shared" si="2"/>
        <v>0</v>
      </c>
      <c r="M10" s="91">
        <f t="shared" si="2"/>
        <v>0</v>
      </c>
      <c r="N10" s="91">
        <f t="shared" si="2"/>
        <v>0</v>
      </c>
      <c r="O10" s="91">
        <f t="shared" si="2"/>
        <v>0</v>
      </c>
      <c r="P10" s="159">
        <f t="shared" si="2"/>
        <v>125831834</v>
      </c>
      <c r="Q10" s="159">
        <f t="shared" si="2"/>
        <v>125831834</v>
      </c>
      <c r="R10" s="159">
        <f t="shared" si="2"/>
        <v>1072786</v>
      </c>
      <c r="S10" s="159">
        <f t="shared" si="2"/>
        <v>1128001</v>
      </c>
      <c r="T10" s="159">
        <f t="shared" si="2"/>
        <v>127152270</v>
      </c>
      <c r="U10" s="159">
        <f t="shared" si="2"/>
        <v>218</v>
      </c>
      <c r="V10" s="159">
        <f t="shared" si="2"/>
        <v>1760</v>
      </c>
      <c r="W10" s="159">
        <f t="shared" si="2"/>
        <v>127207485</v>
      </c>
    </row>
    <row r="11" spans="1:23" x14ac:dyDescent="0.25">
      <c r="A11" s="111" t="s">
        <v>24</v>
      </c>
      <c r="B11" s="60"/>
      <c r="C11" s="60" t="s">
        <v>137</v>
      </c>
      <c r="D11" s="91">
        <f t="shared" ref="D11:W11" si="3">SUMIF($B7:$B8,"államigazgatási",D7:D8)</f>
        <v>0</v>
      </c>
      <c r="E11" s="91">
        <f t="shared" si="3"/>
        <v>0</v>
      </c>
      <c r="F11" s="91">
        <f t="shared" si="3"/>
        <v>0</v>
      </c>
      <c r="G11" s="91">
        <f t="shared" si="3"/>
        <v>0</v>
      </c>
      <c r="H11" s="91">
        <f t="shared" si="3"/>
        <v>0</v>
      </c>
      <c r="I11" s="91">
        <f t="shared" si="3"/>
        <v>0</v>
      </c>
      <c r="J11" s="91">
        <f t="shared" si="3"/>
        <v>0</v>
      </c>
      <c r="K11" s="91">
        <f t="shared" si="3"/>
        <v>0</v>
      </c>
      <c r="L11" s="91">
        <f t="shared" si="3"/>
        <v>0</v>
      </c>
      <c r="M11" s="91">
        <f t="shared" si="3"/>
        <v>0</v>
      </c>
      <c r="N11" s="91">
        <f t="shared" si="3"/>
        <v>0</v>
      </c>
      <c r="O11" s="91">
        <f t="shared" si="3"/>
        <v>0</v>
      </c>
      <c r="P11" s="91">
        <f t="shared" si="3"/>
        <v>0</v>
      </c>
      <c r="Q11" s="91">
        <f t="shared" si="3"/>
        <v>0</v>
      </c>
      <c r="R11" s="91">
        <f t="shared" si="3"/>
        <v>0</v>
      </c>
      <c r="S11" s="91">
        <f t="shared" si="3"/>
        <v>0</v>
      </c>
      <c r="T11" s="91">
        <f t="shared" si="3"/>
        <v>0</v>
      </c>
      <c r="U11" s="91">
        <f t="shared" si="3"/>
        <v>0</v>
      </c>
      <c r="V11" s="91">
        <f t="shared" si="3"/>
        <v>0</v>
      </c>
      <c r="W11" s="91">
        <f t="shared" si="3"/>
        <v>0</v>
      </c>
    </row>
  </sheetData>
  <mergeCells count="21">
    <mergeCell ref="P5:Q5"/>
    <mergeCell ref="N4:O4"/>
    <mergeCell ref="P4:Q4"/>
    <mergeCell ref="R4:S4"/>
    <mergeCell ref="A1:XFD1"/>
    <mergeCell ref="A2:T2"/>
    <mergeCell ref="T4:W4"/>
    <mergeCell ref="T5:W5"/>
    <mergeCell ref="C3:W3"/>
    <mergeCell ref="D4:E4"/>
    <mergeCell ref="F4:G4"/>
    <mergeCell ref="H4:I4"/>
    <mergeCell ref="J4:K4"/>
    <mergeCell ref="L4:M4"/>
    <mergeCell ref="R5:S5"/>
    <mergeCell ref="D5:E5"/>
    <mergeCell ref="F5:G5"/>
    <mergeCell ref="H5:I5"/>
    <mergeCell ref="J5:K5"/>
    <mergeCell ref="L5:M5"/>
    <mergeCell ref="N5:O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W19"/>
  <sheetViews>
    <sheetView view="pageBreakPreview" zoomScaleNormal="100" zoomScaleSheetLayoutView="100" workbookViewId="0">
      <pane xSplit="3" ySplit="6" topLeftCell="D7" activePane="bottomRight" state="frozen"/>
      <selection pane="topRight" activeCell="D1" sqref="D1"/>
      <selection pane="bottomLeft" activeCell="A5" sqref="A5"/>
      <selection pane="bottomRight"/>
    </sheetView>
  </sheetViews>
  <sheetFormatPr defaultColWidth="9.28515625" defaultRowHeight="15" x14ac:dyDescent="0.25"/>
  <cols>
    <col min="1" max="1" width="5.28515625" style="61" customWidth="1"/>
    <col min="2" max="2" width="10" style="61" customWidth="1"/>
    <col min="3" max="3" width="35" style="61" bestFit="1" customWidth="1"/>
    <col min="4" max="5" width="11.7109375" style="61" bestFit="1" customWidth="1"/>
    <col min="6" max="6" width="7.42578125" style="61" customWidth="1"/>
    <col min="7" max="7" width="6.85546875" style="61" customWidth="1"/>
    <col min="8" max="8" width="7.85546875" style="61" customWidth="1"/>
    <col min="9" max="9" width="10.7109375" style="61" customWidth="1"/>
    <col min="10" max="10" width="10.7109375" style="61" bestFit="1" customWidth="1"/>
    <col min="11" max="11" width="8.28515625" style="61" bestFit="1" customWidth="1"/>
    <col min="12" max="12" width="10.7109375" style="61" bestFit="1" customWidth="1"/>
    <col min="13" max="13" width="8.28515625" style="61" bestFit="1" customWidth="1"/>
    <col min="14" max="14" width="10.5703125" style="61" bestFit="1" customWidth="1"/>
    <col min="15" max="15" width="8.28515625" style="61" bestFit="1" customWidth="1"/>
    <col min="16" max="17" width="12.42578125" style="61" bestFit="1" customWidth="1"/>
    <col min="18" max="18" width="10.5703125" style="61" bestFit="1" customWidth="1"/>
    <col min="19" max="19" width="10.5703125" style="61" customWidth="1"/>
    <col min="20" max="20" width="13.42578125" style="61" customWidth="1"/>
    <col min="21" max="21" width="0" style="62" hidden="1" customWidth="1"/>
    <col min="22" max="22" width="12.42578125" style="61" bestFit="1" customWidth="1"/>
    <col min="23" max="23" width="10.5703125" style="61" bestFit="1" customWidth="1"/>
    <col min="24" max="16384" width="9.28515625" style="61"/>
  </cols>
  <sheetData>
    <row r="1" spans="1:23" s="695" customFormat="1" x14ac:dyDescent="0.25">
      <c r="A1" s="745" t="s">
        <v>586</v>
      </c>
    </row>
    <row r="2" spans="1:23" x14ac:dyDescent="0.25">
      <c r="A2" s="694" t="s">
        <v>544</v>
      </c>
      <c r="N2" s="52"/>
      <c r="O2" s="52"/>
      <c r="P2" s="52"/>
      <c r="Q2" s="52"/>
      <c r="R2" s="52"/>
      <c r="S2" s="52"/>
    </row>
    <row r="3" spans="1:23" ht="18.75" x14ac:dyDescent="0.25">
      <c r="A3" s="110"/>
      <c r="B3" s="110"/>
      <c r="C3" s="764" t="s">
        <v>286</v>
      </c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  <c r="S3" s="764"/>
      <c r="T3" s="764"/>
      <c r="U3" s="764"/>
      <c r="V3" s="765"/>
    </row>
    <row r="4" spans="1:23" x14ac:dyDescent="0.25">
      <c r="A4" s="66" t="s">
        <v>68</v>
      </c>
      <c r="B4" s="66" t="s">
        <v>76</v>
      </c>
      <c r="C4" s="69" t="s">
        <v>69</v>
      </c>
      <c r="D4" s="766" t="s">
        <v>70</v>
      </c>
      <c r="E4" s="766"/>
      <c r="F4" s="766" t="s">
        <v>71</v>
      </c>
      <c r="G4" s="766"/>
      <c r="H4" s="766" t="s">
        <v>78</v>
      </c>
      <c r="I4" s="766"/>
      <c r="J4" s="766" t="s">
        <v>80</v>
      </c>
      <c r="K4" s="766"/>
      <c r="L4" s="766" t="s">
        <v>81</v>
      </c>
      <c r="M4" s="766"/>
      <c r="N4" s="766" t="s">
        <v>82</v>
      </c>
      <c r="O4" s="766"/>
      <c r="P4" s="766" t="s">
        <v>83</v>
      </c>
      <c r="Q4" s="766"/>
      <c r="R4" s="766" t="s">
        <v>120</v>
      </c>
      <c r="S4" s="766"/>
      <c r="T4" s="766" t="s">
        <v>110</v>
      </c>
      <c r="U4" s="766"/>
      <c r="V4" s="766"/>
    </row>
    <row r="5" spans="1:23" ht="57" customHeight="1" x14ac:dyDescent="0.25">
      <c r="A5" s="114"/>
      <c r="B5" s="115" t="s">
        <v>113</v>
      </c>
      <c r="C5" s="56" t="s">
        <v>85</v>
      </c>
      <c r="D5" s="758" t="s">
        <v>74</v>
      </c>
      <c r="E5" s="758"/>
      <c r="F5" s="758" t="s">
        <v>73</v>
      </c>
      <c r="G5" s="758"/>
      <c r="H5" s="758" t="s">
        <v>87</v>
      </c>
      <c r="I5" s="758"/>
      <c r="J5" s="758" t="s">
        <v>88</v>
      </c>
      <c r="K5" s="758"/>
      <c r="L5" s="758" t="s">
        <v>89</v>
      </c>
      <c r="M5" s="758"/>
      <c r="N5" s="758" t="s">
        <v>104</v>
      </c>
      <c r="O5" s="758"/>
      <c r="P5" s="758" t="s">
        <v>105</v>
      </c>
      <c r="Q5" s="758"/>
      <c r="R5" s="758" t="s">
        <v>139</v>
      </c>
      <c r="S5" s="758"/>
      <c r="T5" s="758" t="s">
        <v>91</v>
      </c>
      <c r="U5" s="758"/>
      <c r="V5" s="758"/>
    </row>
    <row r="6" spans="1:23" ht="63.75" customHeight="1" x14ac:dyDescent="0.25">
      <c r="A6" s="114"/>
      <c r="B6" s="63"/>
      <c r="C6" s="56" t="s">
        <v>574</v>
      </c>
      <c r="D6" s="108" t="s">
        <v>220</v>
      </c>
      <c r="E6" s="15" t="s">
        <v>219</v>
      </c>
      <c r="F6" s="138" t="s">
        <v>220</v>
      </c>
      <c r="G6" s="15" t="s">
        <v>219</v>
      </c>
      <c r="H6" s="138" t="s">
        <v>220</v>
      </c>
      <c r="I6" s="15" t="s">
        <v>219</v>
      </c>
      <c r="J6" s="138" t="s">
        <v>220</v>
      </c>
      <c r="K6" s="15" t="s">
        <v>219</v>
      </c>
      <c r="L6" s="138" t="s">
        <v>220</v>
      </c>
      <c r="M6" s="15" t="s">
        <v>219</v>
      </c>
      <c r="N6" s="138" t="s">
        <v>220</v>
      </c>
      <c r="O6" s="15" t="s">
        <v>219</v>
      </c>
      <c r="P6" s="138" t="s">
        <v>220</v>
      </c>
      <c r="Q6" s="15" t="s">
        <v>219</v>
      </c>
      <c r="R6" s="138" t="s">
        <v>220</v>
      </c>
      <c r="S6" s="15" t="s">
        <v>219</v>
      </c>
      <c r="T6" s="138" t="s">
        <v>220</v>
      </c>
      <c r="U6" s="15" t="s">
        <v>219</v>
      </c>
      <c r="V6" s="15" t="s">
        <v>219</v>
      </c>
    </row>
    <row r="7" spans="1:23" x14ac:dyDescent="0.25">
      <c r="A7" s="114">
        <v>1</v>
      </c>
      <c r="B7" s="711" t="s">
        <v>93</v>
      </c>
      <c r="C7" s="141" t="s">
        <v>223</v>
      </c>
      <c r="D7" s="143"/>
      <c r="E7" s="144"/>
      <c r="F7" s="143"/>
      <c r="G7" s="144"/>
      <c r="H7" s="143"/>
      <c r="I7" s="144"/>
      <c r="J7" s="143"/>
      <c r="K7" s="144"/>
      <c r="L7" s="143"/>
      <c r="M7" s="144"/>
      <c r="N7" s="143"/>
      <c r="O7" s="144"/>
      <c r="P7" s="143">
        <v>18134165</v>
      </c>
      <c r="Q7" s="144">
        <f>P7+1114969</f>
        <v>19249134</v>
      </c>
      <c r="R7" s="142">
        <v>5693665</v>
      </c>
      <c r="S7" s="144">
        <f>R7+425312</f>
        <v>6118977</v>
      </c>
      <c r="T7" s="143">
        <f t="shared" ref="T7:T14" si="0">D7+F7+H7+J7+L7+N7+P7+R7</f>
        <v>23827830</v>
      </c>
      <c r="U7" s="17"/>
      <c r="V7" s="144">
        <f>E7+G7+I7+K7+M7+O7+Q7+S7</f>
        <v>25368111</v>
      </c>
    </row>
    <row r="8" spans="1:23" x14ac:dyDescent="0.25">
      <c r="A8" s="114">
        <v>2</v>
      </c>
      <c r="B8" s="712" t="s">
        <v>94</v>
      </c>
      <c r="C8" s="58" t="s">
        <v>114</v>
      </c>
      <c r="D8" s="93">
        <f>31056665+1700000</f>
        <v>32756665</v>
      </c>
      <c r="E8" s="93">
        <f>D8</f>
        <v>32756665</v>
      </c>
      <c r="F8" s="93"/>
      <c r="G8" s="93"/>
      <c r="H8" s="88"/>
      <c r="I8" s="88"/>
      <c r="J8" s="88"/>
      <c r="K8" s="88"/>
      <c r="L8" s="88"/>
      <c r="M8" s="88"/>
      <c r="N8" s="88"/>
      <c r="O8" s="88"/>
      <c r="P8" s="89">
        <v>121075840</v>
      </c>
      <c r="Q8" s="89">
        <f>P8+7901219</f>
        <v>128977059</v>
      </c>
      <c r="R8" s="89"/>
      <c r="S8" s="89"/>
      <c r="T8" s="143">
        <f>D8+F8+H8+J8+L8+N8+P8+R8</f>
        <v>153832505</v>
      </c>
      <c r="U8" s="90">
        <f t="shared" ref="U8" si="1">E8+G8+I8+K8+M8+O8+Q8</f>
        <v>161733724</v>
      </c>
      <c r="V8" s="90">
        <f>E8+G8+I8+K8+M8+O8+Q8+S8</f>
        <v>161733724</v>
      </c>
    </row>
    <row r="9" spans="1:23" x14ac:dyDescent="0.25">
      <c r="A9" s="114">
        <v>3</v>
      </c>
      <c r="B9" s="712" t="s">
        <v>94</v>
      </c>
      <c r="C9" s="58" t="s">
        <v>251</v>
      </c>
      <c r="D9" s="93">
        <v>31056665</v>
      </c>
      <c r="E9" s="93">
        <f>D9</f>
        <v>31056665</v>
      </c>
      <c r="F9" s="93"/>
      <c r="G9" s="93"/>
      <c r="H9" s="88"/>
      <c r="I9" s="88"/>
      <c r="J9" s="88"/>
      <c r="K9" s="88"/>
      <c r="L9" s="88"/>
      <c r="M9" s="88"/>
      <c r="N9" s="88"/>
      <c r="O9" s="88"/>
      <c r="P9" s="89"/>
      <c r="Q9" s="89"/>
      <c r="R9" s="89"/>
      <c r="S9" s="89"/>
      <c r="T9" s="143">
        <f t="shared" si="0"/>
        <v>31056665</v>
      </c>
      <c r="U9" s="90"/>
      <c r="V9" s="90">
        <f t="shared" ref="V9:V17" si="2">E9+G9+I9+K9+M9+O9+Q9+S9</f>
        <v>31056665</v>
      </c>
    </row>
    <row r="10" spans="1:23" x14ac:dyDescent="0.25">
      <c r="A10" s="114">
        <v>4</v>
      </c>
      <c r="B10" s="712" t="s">
        <v>93</v>
      </c>
      <c r="C10" s="58" t="s">
        <v>115</v>
      </c>
      <c r="D10" s="92"/>
      <c r="E10" s="92"/>
      <c r="F10" s="92"/>
      <c r="G10" s="92"/>
      <c r="H10" s="88"/>
      <c r="I10" s="88"/>
      <c r="J10" s="88"/>
      <c r="K10" s="88"/>
      <c r="L10" s="88"/>
      <c r="M10" s="88"/>
      <c r="N10" s="88"/>
      <c r="O10" s="88"/>
      <c r="P10" s="89"/>
      <c r="Q10" s="89"/>
      <c r="R10" s="89"/>
      <c r="S10" s="89"/>
      <c r="T10" s="143">
        <f t="shared" si="0"/>
        <v>0</v>
      </c>
      <c r="U10" s="116">
        <v>4</v>
      </c>
      <c r="V10" s="90">
        <f t="shared" si="2"/>
        <v>0</v>
      </c>
    </row>
    <row r="11" spans="1:23" x14ac:dyDescent="0.25">
      <c r="A11" s="114">
        <v>5</v>
      </c>
      <c r="B11" s="712" t="s">
        <v>93</v>
      </c>
      <c r="C11" s="58" t="s">
        <v>142</v>
      </c>
      <c r="D11" s="92"/>
      <c r="E11" s="92"/>
      <c r="F11" s="92"/>
      <c r="G11" s="92"/>
      <c r="H11" s="88"/>
      <c r="I11" s="88"/>
      <c r="J11" s="88"/>
      <c r="K11" s="88"/>
      <c r="L11" s="88"/>
      <c r="M11" s="88"/>
      <c r="N11" s="88"/>
      <c r="O11" s="88"/>
      <c r="P11" s="89"/>
      <c r="Q11" s="89"/>
      <c r="R11" s="89"/>
      <c r="S11" s="89"/>
      <c r="T11" s="143">
        <f t="shared" si="0"/>
        <v>0</v>
      </c>
      <c r="U11" s="116"/>
      <c r="V11" s="90">
        <f t="shared" si="2"/>
        <v>0</v>
      </c>
    </row>
    <row r="12" spans="1:23" x14ac:dyDescent="0.25">
      <c r="A12" s="114">
        <v>6</v>
      </c>
      <c r="B12" s="712" t="s">
        <v>93</v>
      </c>
      <c r="C12" s="58" t="s">
        <v>116</v>
      </c>
      <c r="D12" s="93">
        <v>4191000</v>
      </c>
      <c r="E12" s="93">
        <f>D12</f>
        <v>4191000</v>
      </c>
      <c r="F12" s="92"/>
      <c r="G12" s="92"/>
      <c r="H12" s="88"/>
      <c r="I12" s="88"/>
      <c r="J12" s="88"/>
      <c r="K12" s="88"/>
      <c r="L12" s="88"/>
      <c r="M12" s="88"/>
      <c r="N12" s="88"/>
      <c r="O12" s="88"/>
      <c r="P12" s="89"/>
      <c r="Q12" s="89"/>
      <c r="R12" s="89"/>
      <c r="S12" s="89"/>
      <c r="T12" s="143">
        <f t="shared" si="0"/>
        <v>4191000</v>
      </c>
      <c r="U12" s="116">
        <v>10237</v>
      </c>
      <c r="V12" s="90">
        <f t="shared" si="2"/>
        <v>4191000</v>
      </c>
    </row>
    <row r="13" spans="1:23" x14ac:dyDescent="0.25">
      <c r="A13" s="114">
        <v>7</v>
      </c>
      <c r="B13" s="712" t="s">
        <v>93</v>
      </c>
      <c r="C13" s="58" t="s">
        <v>117</v>
      </c>
      <c r="D13" s="92"/>
      <c r="E13" s="92"/>
      <c r="F13" s="92"/>
      <c r="G13" s="92"/>
      <c r="H13" s="88"/>
      <c r="I13" s="88"/>
      <c r="J13" s="88"/>
      <c r="K13" s="88"/>
      <c r="L13" s="88"/>
      <c r="M13" s="88"/>
      <c r="N13" s="88"/>
      <c r="O13" s="88"/>
      <c r="P13" s="89"/>
      <c r="Q13" s="89"/>
      <c r="R13" s="89"/>
      <c r="S13" s="89"/>
      <c r="T13" s="143">
        <f t="shared" si="0"/>
        <v>0</v>
      </c>
      <c r="U13" s="116"/>
      <c r="V13" s="90">
        <f t="shared" si="2"/>
        <v>0</v>
      </c>
    </row>
    <row r="14" spans="1:23" x14ac:dyDescent="0.25">
      <c r="A14" s="114">
        <v>8</v>
      </c>
      <c r="B14" s="712" t="s">
        <v>94</v>
      </c>
      <c r="C14" s="58" t="s">
        <v>299</v>
      </c>
      <c r="D14" s="92"/>
      <c r="E14" s="92"/>
      <c r="F14" s="92"/>
      <c r="G14" s="92"/>
      <c r="H14" s="88"/>
      <c r="I14" s="88">
        <v>2175666</v>
      </c>
      <c r="J14" s="88"/>
      <c r="K14" s="88"/>
      <c r="L14" s="88"/>
      <c r="M14" s="88"/>
      <c r="N14" s="88"/>
      <c r="O14" s="88"/>
      <c r="P14" s="89"/>
      <c r="Q14" s="89"/>
      <c r="R14" s="89"/>
      <c r="S14" s="89"/>
      <c r="T14" s="143">
        <f t="shared" si="0"/>
        <v>0</v>
      </c>
      <c r="U14" s="116"/>
      <c r="V14" s="90">
        <f>E14+G14+I14+K14+M14+O14+Q14+S14</f>
        <v>2175666</v>
      </c>
    </row>
    <row r="15" spans="1:23" ht="15.75" x14ac:dyDescent="0.25">
      <c r="A15" s="709"/>
      <c r="B15" s="53"/>
      <c r="C15" s="56" t="s">
        <v>108</v>
      </c>
      <c r="D15" s="90">
        <f>SUM(D7:D14)</f>
        <v>68004330</v>
      </c>
      <c r="E15" s="90">
        <f t="shared" ref="E15:U15" si="3">SUM(E7:E14)</f>
        <v>68004330</v>
      </c>
      <c r="F15" s="90">
        <f t="shared" si="3"/>
        <v>0</v>
      </c>
      <c r="G15" s="90">
        <f t="shared" si="3"/>
        <v>0</v>
      </c>
      <c r="H15" s="90">
        <f t="shared" si="3"/>
        <v>0</v>
      </c>
      <c r="I15" s="90">
        <f t="shared" si="3"/>
        <v>2175666</v>
      </c>
      <c r="J15" s="90">
        <f t="shared" si="3"/>
        <v>0</v>
      </c>
      <c r="K15" s="90">
        <f t="shared" si="3"/>
        <v>0</v>
      </c>
      <c r="L15" s="90">
        <f t="shared" si="3"/>
        <v>0</v>
      </c>
      <c r="M15" s="90">
        <f t="shared" si="3"/>
        <v>0</v>
      </c>
      <c r="N15" s="90">
        <f t="shared" si="3"/>
        <v>0</v>
      </c>
      <c r="O15" s="90">
        <f t="shared" si="3"/>
        <v>0</v>
      </c>
      <c r="P15" s="90">
        <f t="shared" si="3"/>
        <v>139210005</v>
      </c>
      <c r="Q15" s="90">
        <f t="shared" si="3"/>
        <v>148226193</v>
      </c>
      <c r="R15" s="90">
        <f t="shared" si="3"/>
        <v>5693665</v>
      </c>
      <c r="S15" s="90">
        <f t="shared" si="3"/>
        <v>6118977</v>
      </c>
      <c r="T15" s="90">
        <f>SUM(T7:T14)</f>
        <v>212908000</v>
      </c>
      <c r="U15" s="90">
        <f t="shared" si="3"/>
        <v>161743965</v>
      </c>
      <c r="V15" s="90">
        <f>E15+G15+I15+K15+M15+O15+Q15+S15</f>
        <v>224525166</v>
      </c>
      <c r="W15" s="62"/>
    </row>
    <row r="16" spans="1:23" x14ac:dyDescent="0.25">
      <c r="A16" s="709">
        <v>9</v>
      </c>
      <c r="B16" s="64"/>
      <c r="C16" s="4" t="s">
        <v>98</v>
      </c>
      <c r="D16" s="91">
        <f ca="1">SUMIF($B7:$B14,"kötelező",D7:D13)</f>
        <v>4191000</v>
      </c>
      <c r="E16" s="91">
        <f t="shared" ref="E16:U16" ca="1" si="4">SUMIF($B7:$B14,"kötelező",E7:E13)</f>
        <v>4191000</v>
      </c>
      <c r="F16" s="91">
        <f t="shared" ca="1" si="4"/>
        <v>0</v>
      </c>
      <c r="G16" s="91">
        <f t="shared" ca="1" si="4"/>
        <v>0</v>
      </c>
      <c r="H16" s="91">
        <f t="shared" ca="1" si="4"/>
        <v>0</v>
      </c>
      <c r="I16" s="91">
        <f t="shared" ca="1" si="4"/>
        <v>0</v>
      </c>
      <c r="J16" s="91">
        <f t="shared" ca="1" si="4"/>
        <v>0</v>
      </c>
      <c r="K16" s="91">
        <f t="shared" ca="1" si="4"/>
        <v>0</v>
      </c>
      <c r="L16" s="91">
        <f t="shared" ca="1" si="4"/>
        <v>0</v>
      </c>
      <c r="M16" s="91">
        <f t="shared" ca="1" si="4"/>
        <v>0</v>
      </c>
      <c r="N16" s="91">
        <f t="shared" ca="1" si="4"/>
        <v>0</v>
      </c>
      <c r="O16" s="91">
        <f t="shared" ca="1" si="4"/>
        <v>0</v>
      </c>
      <c r="P16" s="91">
        <f t="shared" ca="1" si="4"/>
        <v>18134165</v>
      </c>
      <c r="Q16" s="91">
        <f t="shared" ca="1" si="4"/>
        <v>19249134</v>
      </c>
      <c r="R16" s="91">
        <f t="shared" ca="1" si="4"/>
        <v>5693665</v>
      </c>
      <c r="S16" s="91">
        <f t="shared" ca="1" si="4"/>
        <v>6118977</v>
      </c>
      <c r="T16" s="91">
        <f t="shared" ca="1" si="4"/>
        <v>28018830</v>
      </c>
      <c r="U16" s="91">
        <f t="shared" ca="1" si="4"/>
        <v>10241</v>
      </c>
      <c r="V16" s="90">
        <f t="shared" ca="1" si="2"/>
        <v>29559111</v>
      </c>
    </row>
    <row r="17" spans="1:22" x14ac:dyDescent="0.25">
      <c r="A17" s="710">
        <v>10</v>
      </c>
      <c r="B17" s="64"/>
      <c r="C17" s="4" t="s">
        <v>99</v>
      </c>
      <c r="D17" s="91">
        <f>SUMIF($B7:$B14,"nem kötelező",D7:D14)</f>
        <v>63813330</v>
      </c>
      <c r="E17" s="91">
        <f t="shared" ref="E17:U17" si="5">SUMIF($B7:$B14,"nem kötelező",E7:E14)</f>
        <v>63813330</v>
      </c>
      <c r="F17" s="91">
        <f t="shared" si="5"/>
        <v>0</v>
      </c>
      <c r="G17" s="91">
        <f t="shared" si="5"/>
        <v>0</v>
      </c>
      <c r="H17" s="91">
        <f t="shared" si="5"/>
        <v>0</v>
      </c>
      <c r="I17" s="91">
        <f t="shared" si="5"/>
        <v>2175666</v>
      </c>
      <c r="J17" s="91">
        <f t="shared" si="5"/>
        <v>0</v>
      </c>
      <c r="K17" s="91">
        <f t="shared" si="5"/>
        <v>0</v>
      </c>
      <c r="L17" s="91">
        <f t="shared" si="5"/>
        <v>0</v>
      </c>
      <c r="M17" s="91">
        <f t="shared" si="5"/>
        <v>0</v>
      </c>
      <c r="N17" s="91">
        <f t="shared" si="5"/>
        <v>0</v>
      </c>
      <c r="O17" s="91">
        <f t="shared" si="5"/>
        <v>0</v>
      </c>
      <c r="P17" s="91">
        <f t="shared" si="5"/>
        <v>121075840</v>
      </c>
      <c r="Q17" s="91">
        <f t="shared" si="5"/>
        <v>128977059</v>
      </c>
      <c r="R17" s="91">
        <f t="shared" si="5"/>
        <v>0</v>
      </c>
      <c r="S17" s="91">
        <f t="shared" si="5"/>
        <v>0</v>
      </c>
      <c r="T17" s="91">
        <f t="shared" si="5"/>
        <v>184889170</v>
      </c>
      <c r="U17" s="91">
        <f t="shared" si="5"/>
        <v>161733724</v>
      </c>
      <c r="V17" s="90">
        <f t="shared" si="2"/>
        <v>194966055</v>
      </c>
    </row>
    <row r="18" spans="1:22" x14ac:dyDescent="0.25"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</row>
    <row r="19" spans="1:22" x14ac:dyDescent="0.25">
      <c r="D19" s="62"/>
      <c r="V19" s="62"/>
    </row>
  </sheetData>
  <mergeCells count="19">
    <mergeCell ref="P4:Q4"/>
    <mergeCell ref="R4:S4"/>
    <mergeCell ref="T4:V4"/>
    <mergeCell ref="N5:O5"/>
    <mergeCell ref="P5:Q5"/>
    <mergeCell ref="T5:V5"/>
    <mergeCell ref="C3:V3"/>
    <mergeCell ref="R5:S5"/>
    <mergeCell ref="D5:E5"/>
    <mergeCell ref="F5:G5"/>
    <mergeCell ref="H5:I5"/>
    <mergeCell ref="J5:K5"/>
    <mergeCell ref="L5:M5"/>
    <mergeCell ref="D4:E4"/>
    <mergeCell ref="F4:G4"/>
    <mergeCell ref="H4:I4"/>
    <mergeCell ref="J4:K4"/>
    <mergeCell ref="L4:M4"/>
    <mergeCell ref="N4:O4"/>
  </mergeCells>
  <printOptions horizontalCentered="1"/>
  <pageMargins left="0.70866141732283472" right="0.1640625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U22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4" sqref="A4"/>
      <selection pane="bottomRight" sqref="A1:XFD1"/>
    </sheetView>
  </sheetViews>
  <sheetFormatPr defaultColWidth="9.28515625" defaultRowHeight="15" x14ac:dyDescent="0.25"/>
  <cols>
    <col min="1" max="1" width="5.28515625" style="61" customWidth="1"/>
    <col min="2" max="2" width="10" style="61" customWidth="1"/>
    <col min="3" max="3" width="35.28515625" style="61" customWidth="1"/>
    <col min="4" max="4" width="10.5703125" style="61" bestFit="1" customWidth="1"/>
    <col min="5" max="5" width="8.42578125" style="61" bestFit="1" customWidth="1"/>
    <col min="6" max="6" width="10.42578125" style="61" customWidth="1"/>
    <col min="7" max="7" width="7.85546875" style="61" bestFit="1" customWidth="1"/>
    <col min="8" max="8" width="10.5703125" style="61" bestFit="1" customWidth="1"/>
    <col min="9" max="9" width="7.85546875" style="61" bestFit="1" customWidth="1"/>
    <col min="10" max="10" width="10.5703125" style="61" bestFit="1" customWidth="1"/>
    <col min="11" max="11" width="7.85546875" style="61" bestFit="1" customWidth="1"/>
    <col min="12" max="12" width="10.5703125" style="61" bestFit="1" customWidth="1"/>
    <col min="13" max="13" width="7.85546875" style="61" bestFit="1" customWidth="1"/>
    <col min="14" max="14" width="9.5703125" style="61" bestFit="1" customWidth="1"/>
    <col min="15" max="15" width="7.85546875" style="61" bestFit="1" customWidth="1"/>
    <col min="16" max="16" width="12.42578125" style="61" customWidth="1"/>
    <col min="17" max="17" width="14.28515625" style="61" customWidth="1"/>
    <col min="18" max="18" width="10.5703125" style="61" bestFit="1" customWidth="1"/>
    <col min="19" max="19" width="10.140625" style="61" bestFit="1" customWidth="1"/>
    <col min="20" max="21" width="12.42578125" style="61" bestFit="1" customWidth="1"/>
    <col min="22" max="16384" width="9.28515625" style="61"/>
  </cols>
  <sheetData>
    <row r="1" spans="1:21" s="769" customFormat="1" x14ac:dyDescent="0.25">
      <c r="A1" s="768" t="s">
        <v>587</v>
      </c>
    </row>
    <row r="2" spans="1:21" x14ac:dyDescent="0.25">
      <c r="A2" s="774" t="s">
        <v>545</v>
      </c>
      <c r="B2" s="775"/>
      <c r="C2" s="776"/>
      <c r="D2" s="776"/>
      <c r="E2" s="776"/>
      <c r="F2" s="776"/>
      <c r="G2" s="776"/>
      <c r="H2" s="776"/>
      <c r="I2" s="776"/>
    </row>
    <row r="3" spans="1:21" ht="54.75" customHeight="1" x14ac:dyDescent="0.25">
      <c r="A3" s="110"/>
      <c r="B3" s="110"/>
      <c r="C3" s="762" t="s">
        <v>287</v>
      </c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  <c r="S3" s="764"/>
      <c r="T3" s="764"/>
      <c r="U3" s="65"/>
    </row>
    <row r="4" spans="1:21" ht="54.75" customHeight="1" x14ac:dyDescent="0.3">
      <c r="A4" s="66" t="s">
        <v>68</v>
      </c>
      <c r="B4" s="66"/>
      <c r="C4" s="119" t="s">
        <v>76</v>
      </c>
      <c r="D4" s="767" t="s">
        <v>69</v>
      </c>
      <c r="E4" s="767"/>
      <c r="F4" s="767" t="s">
        <v>70</v>
      </c>
      <c r="G4" s="767"/>
      <c r="H4" s="767" t="s">
        <v>71</v>
      </c>
      <c r="I4" s="767"/>
      <c r="J4" s="767" t="s">
        <v>78</v>
      </c>
      <c r="K4" s="767"/>
      <c r="L4" s="767" t="s">
        <v>80</v>
      </c>
      <c r="M4" s="767"/>
      <c r="N4" s="767" t="s">
        <v>81</v>
      </c>
      <c r="O4" s="767"/>
      <c r="P4" s="767" t="s">
        <v>82</v>
      </c>
      <c r="Q4" s="767"/>
      <c r="R4" s="772" t="s">
        <v>83</v>
      </c>
      <c r="S4" s="773"/>
      <c r="T4" s="767" t="s">
        <v>83</v>
      </c>
      <c r="U4" s="767"/>
    </row>
    <row r="5" spans="1:21" ht="84" customHeight="1" x14ac:dyDescent="0.25">
      <c r="A5" s="709">
        <v>1</v>
      </c>
      <c r="B5" s="115" t="s">
        <v>113</v>
      </c>
      <c r="C5" s="56" t="s">
        <v>85</v>
      </c>
      <c r="D5" s="758" t="s">
        <v>74</v>
      </c>
      <c r="E5" s="758"/>
      <c r="F5" s="758" t="s">
        <v>73</v>
      </c>
      <c r="G5" s="758"/>
      <c r="H5" s="758" t="s">
        <v>87</v>
      </c>
      <c r="I5" s="758"/>
      <c r="J5" s="758" t="s">
        <v>88</v>
      </c>
      <c r="K5" s="758"/>
      <c r="L5" s="758" t="s">
        <v>89</v>
      </c>
      <c r="M5" s="758"/>
      <c r="N5" s="758" t="s">
        <v>104</v>
      </c>
      <c r="O5" s="758"/>
      <c r="P5" s="758" t="s">
        <v>105</v>
      </c>
      <c r="Q5" s="758"/>
      <c r="R5" s="770" t="s">
        <v>152</v>
      </c>
      <c r="S5" s="771"/>
      <c r="T5" s="758" t="s">
        <v>91</v>
      </c>
      <c r="U5" s="758"/>
    </row>
    <row r="6" spans="1:21" s="68" customFormat="1" ht="42.75" x14ac:dyDescent="0.25">
      <c r="A6" s="709">
        <v>2</v>
      </c>
      <c r="B6" s="117"/>
      <c r="C6" s="56" t="s">
        <v>574</v>
      </c>
      <c r="D6" s="108" t="s">
        <v>220</v>
      </c>
      <c r="E6" s="15" t="s">
        <v>219</v>
      </c>
      <c r="F6" s="108" t="s">
        <v>220</v>
      </c>
      <c r="G6" s="15" t="s">
        <v>219</v>
      </c>
      <c r="H6" s="138" t="s">
        <v>220</v>
      </c>
      <c r="I6" s="15" t="s">
        <v>219</v>
      </c>
      <c r="J6" s="138" t="s">
        <v>220</v>
      </c>
      <c r="K6" s="15" t="s">
        <v>219</v>
      </c>
      <c r="L6" s="138" t="s">
        <v>220</v>
      </c>
      <c r="M6" s="15" t="s">
        <v>219</v>
      </c>
      <c r="N6" s="138" t="s">
        <v>220</v>
      </c>
      <c r="O6" s="15" t="s">
        <v>219</v>
      </c>
      <c r="P6" s="138" t="s">
        <v>220</v>
      </c>
      <c r="Q6" s="15" t="s">
        <v>219</v>
      </c>
      <c r="R6" s="151" t="s">
        <v>220</v>
      </c>
      <c r="S6" s="15" t="s">
        <v>219</v>
      </c>
      <c r="T6" s="138" t="s">
        <v>220</v>
      </c>
      <c r="U6" s="15" t="s">
        <v>219</v>
      </c>
    </row>
    <row r="7" spans="1:21" s="68" customFormat="1" x14ac:dyDescent="0.25">
      <c r="A7" s="114"/>
      <c r="B7" s="117"/>
      <c r="C7" s="4" t="s">
        <v>252</v>
      </c>
      <c r="D7" s="151"/>
      <c r="E7" s="15"/>
      <c r="F7" s="151"/>
      <c r="G7" s="15"/>
      <c r="H7" s="151"/>
      <c r="I7" s="15"/>
      <c r="J7" s="151"/>
      <c r="K7" s="15"/>
      <c r="L7" s="151"/>
      <c r="M7" s="15"/>
      <c r="N7" s="151"/>
      <c r="O7" s="15"/>
      <c r="P7" s="96">
        <f>127468520+26924000</f>
        <v>154392520</v>
      </c>
      <c r="Q7" s="160">
        <f>P7+45393</f>
        <v>154437913</v>
      </c>
      <c r="R7" s="96">
        <v>3688793</v>
      </c>
      <c r="S7" s="96">
        <f>R7+379090</f>
        <v>4067883</v>
      </c>
      <c r="T7" s="556">
        <f>D7+F7+H7+J7+L7+N7+P7+R7</f>
        <v>158081313</v>
      </c>
      <c r="U7" s="160">
        <f>E7+G7+I7+K7+M7+O7+Q7+S7</f>
        <v>158505796</v>
      </c>
    </row>
    <row r="8" spans="1:21" x14ac:dyDescent="0.25">
      <c r="A8" s="709">
        <v>3</v>
      </c>
      <c r="B8" s="4" t="s">
        <v>93</v>
      </c>
      <c r="C8" s="4" t="s">
        <v>118</v>
      </c>
      <c r="D8" s="94"/>
      <c r="E8" s="94"/>
      <c r="F8" s="94"/>
      <c r="G8" s="94"/>
      <c r="H8" s="95"/>
      <c r="I8" s="95"/>
      <c r="J8" s="95"/>
      <c r="K8" s="95"/>
      <c r="L8" s="95"/>
      <c r="M8" s="95"/>
      <c r="N8" s="95"/>
      <c r="O8" s="95"/>
      <c r="P8" s="96"/>
      <c r="Q8" s="96"/>
      <c r="R8" s="96"/>
      <c r="S8" s="96"/>
      <c r="T8" s="556">
        <f t="shared" ref="T8:T14" si="0">D8+F8+H8+J8+L8+N8+P8+R8</f>
        <v>0</v>
      </c>
      <c r="U8" s="160">
        <f t="shared" ref="U8:U14" si="1">E8+G8+I8+K8+M8+O8+Q8+S8</f>
        <v>0</v>
      </c>
    </row>
    <row r="9" spans="1:21" x14ac:dyDescent="0.25">
      <c r="A9" s="114"/>
      <c r="B9" s="4" t="s">
        <v>93</v>
      </c>
      <c r="C9" s="4" t="s">
        <v>255</v>
      </c>
      <c r="D9" s="94">
        <v>215900</v>
      </c>
      <c r="E9" s="94">
        <v>215900</v>
      </c>
      <c r="F9" s="94"/>
      <c r="G9" s="94"/>
      <c r="H9" s="95"/>
      <c r="I9" s="95"/>
      <c r="J9" s="95"/>
      <c r="K9" s="95"/>
      <c r="L9" s="95"/>
      <c r="M9" s="95"/>
      <c r="N9" s="95"/>
      <c r="O9" s="95"/>
      <c r="P9" s="96"/>
      <c r="Q9" s="96"/>
      <c r="R9" s="96"/>
      <c r="S9" s="96"/>
      <c r="T9" s="556">
        <f t="shared" si="0"/>
        <v>215900</v>
      </c>
      <c r="U9" s="160">
        <f t="shared" si="1"/>
        <v>215900</v>
      </c>
    </row>
    <row r="10" spans="1:21" x14ac:dyDescent="0.25">
      <c r="A10" s="709">
        <v>4</v>
      </c>
      <c r="B10" s="4" t="s">
        <v>93</v>
      </c>
      <c r="C10" s="4" t="s">
        <v>153</v>
      </c>
      <c r="D10" s="94"/>
      <c r="E10" s="94"/>
      <c r="F10" s="94"/>
      <c r="G10" s="94"/>
      <c r="H10" s="95"/>
      <c r="I10" s="95"/>
      <c r="J10" s="95"/>
      <c r="K10" s="95"/>
      <c r="L10" s="95"/>
      <c r="M10" s="95"/>
      <c r="N10" s="95"/>
      <c r="O10" s="95"/>
      <c r="P10" s="96"/>
      <c r="Q10" s="96"/>
      <c r="R10" s="96"/>
      <c r="S10" s="96"/>
      <c r="T10" s="556">
        <f t="shared" si="0"/>
        <v>0</v>
      </c>
      <c r="U10" s="160">
        <f t="shared" si="1"/>
        <v>0</v>
      </c>
    </row>
    <row r="11" spans="1:21" x14ac:dyDescent="0.25">
      <c r="A11" s="114"/>
      <c r="B11" s="4"/>
      <c r="C11" s="4"/>
      <c r="D11" s="94"/>
      <c r="E11" s="94"/>
      <c r="F11" s="94"/>
      <c r="G11" s="94"/>
      <c r="H11" s="95"/>
      <c r="I11" s="95"/>
      <c r="J11" s="95"/>
      <c r="K11" s="95"/>
      <c r="L11" s="95"/>
      <c r="M11" s="95"/>
      <c r="N11" s="95"/>
      <c r="O11" s="95"/>
      <c r="P11" s="96"/>
      <c r="Q11" s="96"/>
      <c r="R11" s="96"/>
      <c r="S11" s="96"/>
      <c r="T11" s="556">
        <f t="shared" si="0"/>
        <v>0</v>
      </c>
      <c r="U11" s="160">
        <f t="shared" si="1"/>
        <v>0</v>
      </c>
    </row>
    <row r="12" spans="1:21" s="68" customFormat="1" x14ac:dyDescent="0.25">
      <c r="A12" s="709">
        <v>5</v>
      </c>
      <c r="B12" s="118"/>
      <c r="C12" s="69" t="s">
        <v>108</v>
      </c>
      <c r="D12" s="97">
        <f t="shared" ref="D12:O12" si="2">SUM(D7:D10)</f>
        <v>215900</v>
      </c>
      <c r="E12" s="97">
        <f t="shared" si="2"/>
        <v>215900</v>
      </c>
      <c r="F12" s="97">
        <f t="shared" si="2"/>
        <v>0</v>
      </c>
      <c r="G12" s="97">
        <f t="shared" si="2"/>
        <v>0</v>
      </c>
      <c r="H12" s="97">
        <f t="shared" si="2"/>
        <v>0</v>
      </c>
      <c r="I12" s="97">
        <f t="shared" si="2"/>
        <v>0</v>
      </c>
      <c r="J12" s="97">
        <f t="shared" si="2"/>
        <v>0</v>
      </c>
      <c r="K12" s="97">
        <f t="shared" si="2"/>
        <v>0</v>
      </c>
      <c r="L12" s="97">
        <f t="shared" si="2"/>
        <v>0</v>
      </c>
      <c r="M12" s="97">
        <f t="shared" si="2"/>
        <v>0</v>
      </c>
      <c r="N12" s="97">
        <f t="shared" si="2"/>
        <v>0</v>
      </c>
      <c r="O12" s="97">
        <f t="shared" si="2"/>
        <v>0</v>
      </c>
      <c r="P12" s="97">
        <f>SUM(P7:P10)</f>
        <v>154392520</v>
      </c>
      <c r="Q12" s="97">
        <f t="shared" ref="Q12:S12" si="3">SUM(Q7:Q10)</f>
        <v>154437913</v>
      </c>
      <c r="R12" s="97">
        <f t="shared" si="3"/>
        <v>3688793</v>
      </c>
      <c r="S12" s="97">
        <f t="shared" si="3"/>
        <v>4067883</v>
      </c>
      <c r="T12" s="556">
        <f t="shared" si="0"/>
        <v>158297213</v>
      </c>
      <c r="U12" s="160">
        <f t="shared" si="1"/>
        <v>158721696</v>
      </c>
    </row>
    <row r="13" spans="1:21" x14ac:dyDescent="0.25">
      <c r="A13" s="709">
        <v>6</v>
      </c>
      <c r="B13" s="4"/>
      <c r="C13" s="4" t="s">
        <v>98</v>
      </c>
      <c r="D13" s="91">
        <f>D8+D9+D10+D7</f>
        <v>215900</v>
      </c>
      <c r="E13" s="91">
        <f t="shared" ref="E13:S13" si="4">E8+E9+E10+E7</f>
        <v>215900</v>
      </c>
      <c r="F13" s="91">
        <f t="shared" si="4"/>
        <v>0</v>
      </c>
      <c r="G13" s="91">
        <f t="shared" si="4"/>
        <v>0</v>
      </c>
      <c r="H13" s="91">
        <f t="shared" si="4"/>
        <v>0</v>
      </c>
      <c r="I13" s="91">
        <f t="shared" si="4"/>
        <v>0</v>
      </c>
      <c r="J13" s="91">
        <f t="shared" si="4"/>
        <v>0</v>
      </c>
      <c r="K13" s="91">
        <f t="shared" si="4"/>
        <v>0</v>
      </c>
      <c r="L13" s="91">
        <f t="shared" si="4"/>
        <v>0</v>
      </c>
      <c r="M13" s="91">
        <f t="shared" si="4"/>
        <v>0</v>
      </c>
      <c r="N13" s="91">
        <f t="shared" si="4"/>
        <v>0</v>
      </c>
      <c r="O13" s="91">
        <f t="shared" si="4"/>
        <v>0</v>
      </c>
      <c r="P13" s="91">
        <f t="shared" si="4"/>
        <v>154392520</v>
      </c>
      <c r="Q13" s="91">
        <f t="shared" si="4"/>
        <v>154437913</v>
      </c>
      <c r="R13" s="91">
        <f t="shared" si="4"/>
        <v>3688793</v>
      </c>
      <c r="S13" s="91">
        <f t="shared" si="4"/>
        <v>4067883</v>
      </c>
      <c r="T13" s="556">
        <f t="shared" si="0"/>
        <v>158297213</v>
      </c>
      <c r="U13" s="160">
        <f t="shared" si="1"/>
        <v>158721696</v>
      </c>
    </row>
    <row r="14" spans="1:21" x14ac:dyDescent="0.25">
      <c r="A14" s="709">
        <v>7</v>
      </c>
      <c r="B14" s="4"/>
      <c r="C14" s="4" t="s">
        <v>99</v>
      </c>
      <c r="D14" s="91">
        <f>SUMIF($B8:$B10,"nem kötelező",D8:D10)</f>
        <v>0</v>
      </c>
      <c r="E14" s="91">
        <f t="shared" ref="E14:Q14" si="5">SUMIF($B8:$B10,"nem kötelező",E8:E10)</f>
        <v>0</v>
      </c>
      <c r="F14" s="91">
        <f t="shared" si="5"/>
        <v>0</v>
      </c>
      <c r="G14" s="91">
        <f t="shared" si="5"/>
        <v>0</v>
      </c>
      <c r="H14" s="91">
        <f t="shared" si="5"/>
        <v>0</v>
      </c>
      <c r="I14" s="91">
        <f t="shared" si="5"/>
        <v>0</v>
      </c>
      <c r="J14" s="91">
        <f t="shared" si="5"/>
        <v>0</v>
      </c>
      <c r="K14" s="91">
        <f t="shared" si="5"/>
        <v>0</v>
      </c>
      <c r="L14" s="91">
        <f t="shared" si="5"/>
        <v>0</v>
      </c>
      <c r="M14" s="91">
        <f t="shared" si="5"/>
        <v>0</v>
      </c>
      <c r="N14" s="91">
        <f t="shared" si="5"/>
        <v>0</v>
      </c>
      <c r="O14" s="91">
        <f t="shared" si="5"/>
        <v>0</v>
      </c>
      <c r="P14" s="91">
        <f t="shared" si="5"/>
        <v>0</v>
      </c>
      <c r="Q14" s="91">
        <f t="shared" si="5"/>
        <v>0</v>
      </c>
      <c r="R14" s="96"/>
      <c r="S14" s="96"/>
      <c r="T14" s="556">
        <f t="shared" si="0"/>
        <v>0</v>
      </c>
      <c r="U14" s="160">
        <f t="shared" si="1"/>
        <v>0</v>
      </c>
    </row>
    <row r="15" spans="1:21" x14ac:dyDescent="0.25"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</row>
    <row r="22" spans="6:6" x14ac:dyDescent="0.25">
      <c r="F22" s="61" t="s">
        <v>119</v>
      </c>
    </row>
  </sheetData>
  <mergeCells count="21">
    <mergeCell ref="N4:O4"/>
    <mergeCell ref="P4:Q4"/>
    <mergeCell ref="A1:XFD1"/>
    <mergeCell ref="R5:S5"/>
    <mergeCell ref="R4:S4"/>
    <mergeCell ref="T4:U4"/>
    <mergeCell ref="C3:T3"/>
    <mergeCell ref="A2:I2"/>
    <mergeCell ref="N5:O5"/>
    <mergeCell ref="P5:Q5"/>
    <mergeCell ref="T5:U5"/>
    <mergeCell ref="D4:E4"/>
    <mergeCell ref="F4:G4"/>
    <mergeCell ref="H4:I4"/>
    <mergeCell ref="J4:K4"/>
    <mergeCell ref="L4:M4"/>
    <mergeCell ref="D5:E5"/>
    <mergeCell ref="F5:G5"/>
    <mergeCell ref="H5:I5"/>
    <mergeCell ref="J5:K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  <pageSetUpPr fitToPage="1"/>
  </sheetPr>
  <dimension ref="A1:AL77"/>
  <sheetViews>
    <sheetView view="pageBreakPreview" zoomScale="98" zoomScaleNormal="100" zoomScaleSheetLayoutView="98" workbookViewId="0">
      <pane xSplit="3" ySplit="6" topLeftCell="V60" activePane="bottomRight" state="frozen"/>
      <selection pane="topRight" activeCell="D1" sqref="D1"/>
      <selection pane="bottomLeft" activeCell="A6" sqref="A6"/>
      <selection pane="bottomRight" activeCell="X1" sqref="X1:AH1"/>
    </sheetView>
  </sheetViews>
  <sheetFormatPr defaultColWidth="9.28515625" defaultRowHeight="15" x14ac:dyDescent="0.25"/>
  <cols>
    <col min="1" max="1" width="6" style="9" customWidth="1"/>
    <col min="2" max="2" width="15" style="9" customWidth="1"/>
    <col min="3" max="3" width="67.5703125" style="9" bestFit="1" customWidth="1"/>
    <col min="4" max="4" width="12.42578125" style="9" bestFit="1" customWidth="1"/>
    <col min="5" max="5" width="12.42578125" style="9" customWidth="1"/>
    <col min="6" max="7" width="13.28515625" style="9" customWidth="1"/>
    <col min="8" max="8" width="12.7109375" style="9" customWidth="1"/>
    <col min="9" max="9" width="13.42578125" style="9" customWidth="1"/>
    <col min="10" max="10" width="11.7109375" style="9" customWidth="1"/>
    <col min="11" max="12" width="12.28515625" style="9" customWidth="1"/>
    <col min="13" max="13" width="12.42578125" style="9" customWidth="1"/>
    <col min="14" max="15" width="12.28515625" style="9" customWidth="1"/>
    <col min="16" max="16" width="7.5703125" style="9" customWidth="1"/>
    <col min="17" max="17" width="7.140625" style="9" bestFit="1" customWidth="1"/>
    <col min="18" max="18" width="7.85546875" style="9" customWidth="1"/>
    <col min="19" max="19" width="7.140625" style="9" bestFit="1" customWidth="1"/>
    <col min="20" max="21" width="12.42578125" style="9" bestFit="1" customWidth="1"/>
    <col min="22" max="24" width="12.28515625" style="9" customWidth="1"/>
    <col min="25" max="27" width="11.28515625" style="9" bestFit="1" customWidth="1"/>
    <col min="28" max="29" width="10.140625" style="9" bestFit="1" customWidth="1"/>
    <col min="30" max="30" width="13.85546875" style="9" customWidth="1"/>
    <col min="31" max="31" width="14.28515625" style="9" bestFit="1" customWidth="1"/>
    <col min="32" max="33" width="12.42578125" style="9" bestFit="1" customWidth="1"/>
    <col min="34" max="35" width="12.7109375" style="9" bestFit="1" customWidth="1"/>
    <col min="36" max="37" width="12.28515625" style="9" hidden="1" customWidth="1"/>
    <col min="38" max="38" width="12.5703125" style="9" customWidth="1"/>
    <col min="39" max="16384" width="9.28515625" style="9"/>
  </cols>
  <sheetData>
    <row r="1" spans="1:38" x14ac:dyDescent="0.25">
      <c r="X1" s="781" t="s">
        <v>580</v>
      </c>
      <c r="Y1" s="781"/>
      <c r="Z1" s="781"/>
      <c r="AA1" s="781"/>
      <c r="AB1" s="781"/>
      <c r="AC1" s="781"/>
      <c r="AD1" s="781"/>
      <c r="AE1" s="781"/>
      <c r="AF1" s="781"/>
      <c r="AG1" s="781"/>
      <c r="AH1" s="781"/>
    </row>
    <row r="2" spans="1:38" x14ac:dyDescent="0.25">
      <c r="X2" s="784" t="s">
        <v>546</v>
      </c>
      <c r="Y2" s="784"/>
      <c r="Z2" s="784"/>
      <c r="AA2" s="784"/>
      <c r="AB2" s="784"/>
      <c r="AC2" s="784"/>
      <c r="AD2" s="784"/>
      <c r="AE2" s="784"/>
      <c r="AF2" s="784"/>
      <c r="AG2" s="739"/>
      <c r="AH2" s="739"/>
      <c r="AI2" s="698"/>
    </row>
    <row r="3" spans="1:38" ht="95.25" customHeight="1" x14ac:dyDescent="0.25">
      <c r="A3" s="742"/>
      <c r="B3" s="743"/>
      <c r="C3" s="782" t="s">
        <v>298</v>
      </c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783"/>
      <c r="X3" s="783"/>
      <c r="Y3" s="783"/>
      <c r="Z3" s="783"/>
      <c r="AA3" s="783"/>
      <c r="AB3" s="783"/>
      <c r="AC3" s="783"/>
      <c r="AD3" s="783"/>
      <c r="AE3" s="783"/>
      <c r="AF3" s="783"/>
      <c r="AG3" s="783"/>
      <c r="AH3" s="783"/>
      <c r="AI3" s="783"/>
      <c r="AJ3" s="12"/>
      <c r="AK3" s="12"/>
    </row>
    <row r="4" spans="1:38" ht="48" customHeight="1" x14ac:dyDescent="0.25">
      <c r="A4" s="738" t="s">
        <v>68</v>
      </c>
      <c r="B4" s="738" t="s">
        <v>76</v>
      </c>
      <c r="C4" s="740" t="s">
        <v>69</v>
      </c>
      <c r="D4" s="777" t="s">
        <v>70</v>
      </c>
      <c r="E4" s="778"/>
      <c r="F4" s="777" t="s">
        <v>71</v>
      </c>
      <c r="G4" s="778"/>
      <c r="H4" s="777" t="s">
        <v>78</v>
      </c>
      <c r="I4" s="778"/>
      <c r="J4" s="777" t="s">
        <v>80</v>
      </c>
      <c r="K4" s="778"/>
      <c r="L4" s="777" t="s">
        <v>81</v>
      </c>
      <c r="M4" s="778"/>
      <c r="N4" s="777" t="s">
        <v>82</v>
      </c>
      <c r="O4" s="778"/>
      <c r="P4" s="777" t="s">
        <v>83</v>
      </c>
      <c r="Q4" s="778"/>
      <c r="R4" s="777" t="s">
        <v>110</v>
      </c>
      <c r="S4" s="778"/>
      <c r="T4" s="777" t="s">
        <v>212</v>
      </c>
      <c r="U4" s="778"/>
      <c r="V4" s="777" t="s">
        <v>111</v>
      </c>
      <c r="W4" s="778"/>
      <c r="X4" s="777" t="s">
        <v>213</v>
      </c>
      <c r="Y4" s="778"/>
      <c r="Z4" s="777" t="s">
        <v>112</v>
      </c>
      <c r="AA4" s="778"/>
      <c r="AB4" s="777" t="s">
        <v>261</v>
      </c>
      <c r="AC4" s="778"/>
      <c r="AD4" s="777" t="s">
        <v>214</v>
      </c>
      <c r="AE4" s="778"/>
      <c r="AF4" s="777" t="s">
        <v>215</v>
      </c>
      <c r="AG4" s="778"/>
      <c r="AH4" s="741"/>
      <c r="AI4" s="738" t="s">
        <v>216</v>
      </c>
      <c r="AJ4" s="12"/>
      <c r="AK4" s="12"/>
    </row>
    <row r="5" spans="1:38" ht="72.75" customHeight="1" x14ac:dyDescent="0.25">
      <c r="A5" s="11" t="s">
        <v>1</v>
      </c>
      <c r="B5" s="121" t="s">
        <v>84</v>
      </c>
      <c r="C5" s="14" t="s">
        <v>85</v>
      </c>
      <c r="D5" s="779" t="s">
        <v>46</v>
      </c>
      <c r="E5" s="780"/>
      <c r="F5" s="779" t="s">
        <v>121</v>
      </c>
      <c r="G5" s="780"/>
      <c r="H5" s="779" t="s">
        <v>47</v>
      </c>
      <c r="I5" s="780"/>
      <c r="J5" s="779" t="s">
        <v>122</v>
      </c>
      <c r="K5" s="780"/>
      <c r="L5" s="779" t="s">
        <v>123</v>
      </c>
      <c r="M5" s="780"/>
      <c r="N5" s="779" t="s">
        <v>124</v>
      </c>
      <c r="O5" s="780"/>
      <c r="P5" s="779" t="s">
        <v>143</v>
      </c>
      <c r="Q5" s="780"/>
      <c r="R5" s="779" t="s">
        <v>144</v>
      </c>
      <c r="S5" s="780"/>
      <c r="T5" s="779" t="s">
        <v>53</v>
      </c>
      <c r="U5" s="780"/>
      <c r="V5" s="779" t="s">
        <v>55</v>
      </c>
      <c r="W5" s="780"/>
      <c r="X5" s="779" t="s">
        <v>125</v>
      </c>
      <c r="Y5" s="780"/>
      <c r="Z5" s="779" t="s">
        <v>126</v>
      </c>
      <c r="AA5" s="780"/>
      <c r="AB5" s="779" t="s">
        <v>262</v>
      </c>
      <c r="AC5" s="780"/>
      <c r="AD5" s="779" t="s">
        <v>100</v>
      </c>
      <c r="AE5" s="780"/>
      <c r="AF5" s="779" t="s">
        <v>127</v>
      </c>
      <c r="AG5" s="780"/>
      <c r="AH5" s="15" t="s">
        <v>128</v>
      </c>
      <c r="AI5" s="15" t="s">
        <v>128</v>
      </c>
      <c r="AJ5" s="16"/>
      <c r="AK5" s="16"/>
    </row>
    <row r="6" spans="1:38" ht="43.5" customHeight="1" x14ac:dyDescent="0.25">
      <c r="A6" s="11" t="s">
        <v>3</v>
      </c>
      <c r="B6" s="13"/>
      <c r="C6" s="14" t="s">
        <v>250</v>
      </c>
      <c r="D6" s="17" t="s">
        <v>228</v>
      </c>
      <c r="E6" s="17" t="s">
        <v>219</v>
      </c>
      <c r="F6" s="17" t="s">
        <v>228</v>
      </c>
      <c r="G6" s="17" t="s">
        <v>219</v>
      </c>
      <c r="H6" s="17" t="s">
        <v>228</v>
      </c>
      <c r="I6" s="17" t="s">
        <v>219</v>
      </c>
      <c r="J6" s="17" t="s">
        <v>228</v>
      </c>
      <c r="K6" s="17" t="s">
        <v>219</v>
      </c>
      <c r="L6" s="17" t="s">
        <v>228</v>
      </c>
      <c r="M6" s="17" t="s">
        <v>219</v>
      </c>
      <c r="N6" s="17" t="s">
        <v>228</v>
      </c>
      <c r="O6" s="17" t="s">
        <v>219</v>
      </c>
      <c r="P6" s="17" t="s">
        <v>228</v>
      </c>
      <c r="Q6" s="17" t="s">
        <v>219</v>
      </c>
      <c r="R6" s="17" t="s">
        <v>228</v>
      </c>
      <c r="S6" s="17" t="s">
        <v>219</v>
      </c>
      <c r="T6" s="17" t="s">
        <v>221</v>
      </c>
      <c r="U6" s="17" t="s">
        <v>219</v>
      </c>
      <c r="V6" s="17" t="s">
        <v>221</v>
      </c>
      <c r="W6" s="17" t="s">
        <v>219</v>
      </c>
      <c r="X6" s="17" t="s">
        <v>221</v>
      </c>
      <c r="Y6" s="17" t="s">
        <v>219</v>
      </c>
      <c r="Z6" s="17" t="s">
        <v>221</v>
      </c>
      <c r="AA6" s="17" t="s">
        <v>219</v>
      </c>
      <c r="AB6" s="17" t="s">
        <v>221</v>
      </c>
      <c r="AC6" s="17" t="s">
        <v>219</v>
      </c>
      <c r="AD6" s="17" t="s">
        <v>221</v>
      </c>
      <c r="AE6" s="17" t="s">
        <v>219</v>
      </c>
      <c r="AF6" s="17" t="s">
        <v>221</v>
      </c>
      <c r="AG6" s="17" t="s">
        <v>219</v>
      </c>
      <c r="AH6" s="17" t="s">
        <v>221</v>
      </c>
      <c r="AI6" s="17" t="s">
        <v>219</v>
      </c>
      <c r="AJ6" s="17" t="s">
        <v>156</v>
      </c>
      <c r="AK6" s="17" t="s">
        <v>92</v>
      </c>
    </row>
    <row r="7" spans="1:38" x14ac:dyDescent="0.25">
      <c r="A7" s="11" t="s">
        <v>4</v>
      </c>
      <c r="B7" s="5" t="s">
        <v>93</v>
      </c>
      <c r="C7" s="6" t="s">
        <v>230</v>
      </c>
      <c r="D7" s="98">
        <v>22964150</v>
      </c>
      <c r="E7" s="139">
        <f>D7-6963900</f>
        <v>16000250</v>
      </c>
      <c r="F7" s="98">
        <v>3559443</v>
      </c>
      <c r="G7" s="98">
        <f>F7-1500000</f>
        <v>2059443</v>
      </c>
      <c r="H7" s="98">
        <v>28286000</v>
      </c>
      <c r="I7" s="98">
        <f>H7+250000+600000-250000-600000</f>
        <v>28286000</v>
      </c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>
        <v>5000000</v>
      </c>
      <c r="AC7" s="98">
        <f>AB7</f>
        <v>5000000</v>
      </c>
      <c r="AD7" s="7">
        <f>D7+F7+H7+J7+L7+N7+P7+R7+T7+V7+X7+Z7+AB7</f>
        <v>59809593</v>
      </c>
      <c r="AE7" s="7">
        <f>E7+G7+I7+K7+M7+O7+Q7+S7+U7+W7+Y7+AA7+AC7</f>
        <v>51345693</v>
      </c>
      <c r="AF7" s="8"/>
      <c r="AG7" s="8"/>
      <c r="AH7" s="8">
        <f>AD7+AF7</f>
        <v>59809593</v>
      </c>
      <c r="AI7" s="162">
        <f>AE7+AG7</f>
        <v>51345693</v>
      </c>
      <c r="AJ7" s="8"/>
      <c r="AK7" s="8">
        <v>4836</v>
      </c>
      <c r="AL7" s="27"/>
    </row>
    <row r="8" spans="1:38" x14ac:dyDescent="0.25">
      <c r="A8" s="11" t="s">
        <v>22</v>
      </c>
      <c r="B8" s="5" t="s">
        <v>93</v>
      </c>
      <c r="C8" s="6" t="s">
        <v>263</v>
      </c>
      <c r="D8" s="98"/>
      <c r="E8" s="139"/>
      <c r="F8" s="98"/>
      <c r="G8" s="98"/>
      <c r="H8" s="98">
        <f>20000+50000+1800000+545400+150000</f>
        <v>2565400</v>
      </c>
      <c r="I8" s="98">
        <f>H8</f>
        <v>2565400</v>
      </c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7">
        <f t="shared" ref="AD8:AD43" si="0">D8+F8+H8+J8+L8+N8+P8+R8+T8+V8+X8+Z8+AB8</f>
        <v>2565400</v>
      </c>
      <c r="AE8" s="7">
        <f t="shared" ref="AE8:AE43" si="1">E8+G8+I8+K8+M8+O8+Q8+S8+U8+W8+Y8+AA8+AC8</f>
        <v>2565400</v>
      </c>
      <c r="AF8" s="8"/>
      <c r="AG8" s="8"/>
      <c r="AH8" s="8">
        <f t="shared" ref="AH8:AH44" si="2">AD8+AF8</f>
        <v>2565400</v>
      </c>
      <c r="AI8" s="162">
        <f t="shared" ref="AI8:AI43" si="3">AE8+AG8</f>
        <v>2565400</v>
      </c>
      <c r="AJ8" s="8"/>
      <c r="AK8" s="8"/>
      <c r="AL8" s="27"/>
    </row>
    <row r="9" spans="1:38" x14ac:dyDescent="0.25">
      <c r="A9" s="11" t="s">
        <v>24</v>
      </c>
      <c r="B9" s="5" t="s">
        <v>93</v>
      </c>
      <c r="C9" s="6" t="s">
        <v>231</v>
      </c>
      <c r="D9" s="99"/>
      <c r="E9" s="140"/>
      <c r="F9" s="99"/>
      <c r="G9" s="99"/>
      <c r="H9" s="102">
        <f>400000+800000+1200000+1500000+800000+1269000</f>
        <v>5969000</v>
      </c>
      <c r="I9" s="102">
        <f>H9+350000-350000</f>
        <v>5969000</v>
      </c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02"/>
      <c r="Y9" s="102"/>
      <c r="Z9" s="99"/>
      <c r="AA9" s="99"/>
      <c r="AB9" s="99"/>
      <c r="AC9" s="99"/>
      <c r="AD9" s="7">
        <f t="shared" si="0"/>
        <v>5969000</v>
      </c>
      <c r="AE9" s="7">
        <f t="shared" si="1"/>
        <v>5969000</v>
      </c>
      <c r="AF9" s="8"/>
      <c r="AG9" s="8"/>
      <c r="AH9" s="8">
        <f t="shared" si="2"/>
        <v>5969000</v>
      </c>
      <c r="AI9" s="162">
        <f t="shared" si="3"/>
        <v>5969000</v>
      </c>
      <c r="AJ9" s="8"/>
      <c r="AK9" s="8"/>
      <c r="AL9" s="27"/>
    </row>
    <row r="10" spans="1:38" x14ac:dyDescent="0.25">
      <c r="A10" s="11" t="s">
        <v>25</v>
      </c>
      <c r="B10" s="5" t="s">
        <v>93</v>
      </c>
      <c r="C10" s="6" t="s">
        <v>275</v>
      </c>
      <c r="D10" s="99"/>
      <c r="E10" s="140"/>
      <c r="F10" s="99"/>
      <c r="G10" s="99"/>
      <c r="H10" s="102"/>
      <c r="I10" s="102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2"/>
      <c r="Y10" s="102"/>
      <c r="Z10" s="99">
        <v>22221723</v>
      </c>
      <c r="AA10" s="99">
        <f>Z10</f>
        <v>22221723</v>
      </c>
      <c r="AB10" s="99"/>
      <c r="AC10" s="99"/>
      <c r="AD10" s="7">
        <f t="shared" si="0"/>
        <v>22221723</v>
      </c>
      <c r="AE10" s="7">
        <f t="shared" si="1"/>
        <v>22221723</v>
      </c>
      <c r="AF10" s="8"/>
      <c r="AG10" s="8"/>
      <c r="AH10" s="8">
        <f t="shared" si="2"/>
        <v>22221723</v>
      </c>
      <c r="AI10" s="162">
        <f t="shared" si="3"/>
        <v>22221723</v>
      </c>
      <c r="AJ10" s="8"/>
      <c r="AK10" s="8"/>
      <c r="AL10" s="27"/>
    </row>
    <row r="11" spans="1:38" x14ac:dyDescent="0.25">
      <c r="A11" s="11" t="s">
        <v>27</v>
      </c>
      <c r="B11" s="5" t="s">
        <v>93</v>
      </c>
      <c r="C11" s="6" t="s">
        <v>232</v>
      </c>
      <c r="D11" s="99"/>
      <c r="E11" s="140"/>
      <c r="F11" s="99"/>
      <c r="G11" s="99"/>
      <c r="H11" s="102"/>
      <c r="I11" s="102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102"/>
      <c r="Y11" s="102"/>
      <c r="Z11" s="99"/>
      <c r="AA11" s="99"/>
      <c r="AB11" s="99"/>
      <c r="AC11" s="99"/>
      <c r="AD11" s="7">
        <f t="shared" si="0"/>
        <v>0</v>
      </c>
      <c r="AE11" s="7">
        <f t="shared" si="1"/>
        <v>0</v>
      </c>
      <c r="AF11" s="102">
        <v>419434359</v>
      </c>
      <c r="AG11" s="8">
        <f>AF11+45393+9016188</f>
        <v>428495940</v>
      </c>
      <c r="AH11" s="8">
        <f t="shared" si="2"/>
        <v>419434359</v>
      </c>
      <c r="AI11" s="162">
        <f t="shared" si="3"/>
        <v>428495940</v>
      </c>
      <c r="AJ11" s="8"/>
      <c r="AK11" s="8"/>
      <c r="AL11" s="27"/>
    </row>
    <row r="12" spans="1:38" x14ac:dyDescent="0.25">
      <c r="A12" s="11" t="s">
        <v>28</v>
      </c>
      <c r="B12" s="5" t="s">
        <v>94</v>
      </c>
      <c r="C12" s="6" t="s">
        <v>233</v>
      </c>
      <c r="D12" s="99"/>
      <c r="E12" s="140"/>
      <c r="F12" s="99"/>
      <c r="G12" s="99"/>
      <c r="H12" s="102"/>
      <c r="I12" s="102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102"/>
      <c r="Y12" s="102"/>
      <c r="Z12" s="99"/>
      <c r="AA12" s="99"/>
      <c r="AB12" s="99"/>
      <c r="AC12" s="99"/>
      <c r="AD12" s="7">
        <f t="shared" si="0"/>
        <v>0</v>
      </c>
      <c r="AE12" s="7">
        <f t="shared" si="1"/>
        <v>0</v>
      </c>
      <c r="AF12" s="8"/>
      <c r="AG12" s="8"/>
      <c r="AH12" s="8">
        <f t="shared" si="2"/>
        <v>0</v>
      </c>
      <c r="AI12" s="162">
        <f t="shared" si="3"/>
        <v>0</v>
      </c>
      <c r="AJ12" s="8"/>
      <c r="AK12" s="8"/>
      <c r="AL12" s="27"/>
    </row>
    <row r="13" spans="1:38" ht="20.25" customHeight="1" x14ac:dyDescent="0.25">
      <c r="A13" s="11" t="s">
        <v>29</v>
      </c>
      <c r="B13" s="5" t="s">
        <v>93</v>
      </c>
      <c r="C13" s="42" t="s">
        <v>234</v>
      </c>
      <c r="D13" s="99"/>
      <c r="E13" s="140"/>
      <c r="F13" s="99"/>
      <c r="G13" s="99"/>
      <c r="H13" s="102"/>
      <c r="I13" s="102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102"/>
      <c r="Y13" s="102"/>
      <c r="Z13" s="99"/>
      <c r="AA13" s="99"/>
      <c r="AB13" s="99"/>
      <c r="AC13" s="99"/>
      <c r="AD13" s="7">
        <f t="shared" si="0"/>
        <v>0</v>
      </c>
      <c r="AE13" s="7">
        <f t="shared" si="1"/>
        <v>0</v>
      </c>
      <c r="AF13" s="8"/>
      <c r="AG13" s="8"/>
      <c r="AH13" s="8">
        <f t="shared" si="2"/>
        <v>0</v>
      </c>
      <c r="AI13" s="162">
        <f t="shared" si="3"/>
        <v>0</v>
      </c>
      <c r="AJ13" s="8"/>
      <c r="AK13" s="8"/>
      <c r="AL13" s="27"/>
    </row>
    <row r="14" spans="1:38" x14ac:dyDescent="0.25">
      <c r="A14" s="11" t="s">
        <v>32</v>
      </c>
      <c r="B14" s="5" t="s">
        <v>93</v>
      </c>
      <c r="C14" s="6" t="s">
        <v>235</v>
      </c>
      <c r="D14" s="99">
        <v>17474310</v>
      </c>
      <c r="E14" s="140">
        <f>D14+49037120</f>
        <v>66511430</v>
      </c>
      <c r="F14" s="99">
        <v>1354259</v>
      </c>
      <c r="G14" s="99">
        <f>F14+4175263</f>
        <v>5529522</v>
      </c>
      <c r="H14" s="102"/>
      <c r="I14" s="102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102"/>
      <c r="Y14" s="102"/>
      <c r="Z14" s="99"/>
      <c r="AA14" s="99"/>
      <c r="AB14" s="99"/>
      <c r="AC14" s="99"/>
      <c r="AD14" s="7">
        <f t="shared" si="0"/>
        <v>18828569</v>
      </c>
      <c r="AE14" s="7">
        <f t="shared" si="1"/>
        <v>72040952</v>
      </c>
      <c r="AF14" s="8"/>
      <c r="AG14" s="8"/>
      <c r="AH14" s="8">
        <f t="shared" si="2"/>
        <v>18828569</v>
      </c>
      <c r="AI14" s="162">
        <f t="shared" si="3"/>
        <v>72040952</v>
      </c>
      <c r="AJ14" s="8"/>
      <c r="AK14" s="8"/>
      <c r="AL14" s="27"/>
    </row>
    <row r="15" spans="1:38" x14ac:dyDescent="0.25">
      <c r="A15" s="11" t="s">
        <v>37</v>
      </c>
      <c r="B15" s="5" t="s">
        <v>94</v>
      </c>
      <c r="C15" s="6" t="s">
        <v>264</v>
      </c>
      <c r="D15" s="99"/>
      <c r="E15" s="140"/>
      <c r="F15" s="99"/>
      <c r="G15" s="99"/>
      <c r="H15" s="102">
        <f>2450000+2600000+1363500</f>
        <v>6413500</v>
      </c>
      <c r="I15" s="102">
        <f>H15</f>
        <v>6413500</v>
      </c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102"/>
      <c r="Y15" s="102"/>
      <c r="Z15" s="99"/>
      <c r="AA15" s="99"/>
      <c r="AB15" s="99"/>
      <c r="AC15" s="99"/>
      <c r="AD15" s="7">
        <f t="shared" si="0"/>
        <v>6413500</v>
      </c>
      <c r="AE15" s="7">
        <f t="shared" si="1"/>
        <v>6413500</v>
      </c>
      <c r="AF15" s="8"/>
      <c r="AG15" s="8"/>
      <c r="AH15" s="8">
        <f t="shared" si="2"/>
        <v>6413500</v>
      </c>
      <c r="AI15" s="162">
        <f t="shared" si="3"/>
        <v>6413500</v>
      </c>
      <c r="AJ15" s="8"/>
      <c r="AK15" s="8"/>
      <c r="AL15" s="27"/>
    </row>
    <row r="16" spans="1:38" x14ac:dyDescent="0.25">
      <c r="A16" s="11" t="s">
        <v>72</v>
      </c>
      <c r="B16" s="5" t="s">
        <v>93</v>
      </c>
      <c r="C16" s="6" t="s">
        <v>310</v>
      </c>
      <c r="D16" s="99"/>
      <c r="E16" s="140">
        <v>1030000</v>
      </c>
      <c r="F16" s="99"/>
      <c r="G16" s="99">
        <v>100000</v>
      </c>
      <c r="H16" s="102">
        <f>4000000+100000+1500000+1512000</f>
        <v>7112000</v>
      </c>
      <c r="I16" s="102">
        <f>H16-1130000</f>
        <v>5982000</v>
      </c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>
        <f>1800000+486000</f>
        <v>2286000</v>
      </c>
      <c r="W16" s="99">
        <v>5715000</v>
      </c>
      <c r="X16" s="102"/>
      <c r="Y16" s="102"/>
      <c r="Z16" s="99"/>
      <c r="AA16" s="99"/>
      <c r="AB16" s="99"/>
      <c r="AC16" s="99"/>
      <c r="AD16" s="7">
        <f t="shared" si="0"/>
        <v>9398000</v>
      </c>
      <c r="AE16" s="7">
        <f t="shared" si="1"/>
        <v>12827000</v>
      </c>
      <c r="AF16" s="8"/>
      <c r="AG16" s="8"/>
      <c r="AH16" s="8">
        <f t="shared" si="2"/>
        <v>9398000</v>
      </c>
      <c r="AI16" s="162">
        <f t="shared" si="3"/>
        <v>12827000</v>
      </c>
      <c r="AJ16" s="8"/>
      <c r="AK16" s="8"/>
      <c r="AL16" s="27"/>
    </row>
    <row r="17" spans="1:38" x14ac:dyDescent="0.25">
      <c r="A17" s="11" t="s">
        <v>42</v>
      </c>
      <c r="B17" s="5" t="s">
        <v>94</v>
      </c>
      <c r="C17" s="42" t="s">
        <v>265</v>
      </c>
      <c r="D17" s="99"/>
      <c r="E17" s="140"/>
      <c r="F17" s="99"/>
      <c r="G17" s="99"/>
      <c r="H17" s="102">
        <f>3600000+60000</f>
        <v>3660000</v>
      </c>
      <c r="I17" s="102">
        <f>H17</f>
        <v>3660000</v>
      </c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102"/>
      <c r="Y17" s="102"/>
      <c r="Z17" s="99"/>
      <c r="AA17" s="99"/>
      <c r="AB17" s="99"/>
      <c r="AC17" s="99"/>
      <c r="AD17" s="7">
        <f t="shared" si="0"/>
        <v>3660000</v>
      </c>
      <c r="AE17" s="7">
        <f t="shared" si="1"/>
        <v>3660000</v>
      </c>
      <c r="AF17" s="8"/>
      <c r="AG17" s="8"/>
      <c r="AH17" s="8">
        <f t="shared" si="2"/>
        <v>3660000</v>
      </c>
      <c r="AI17" s="162">
        <f t="shared" si="3"/>
        <v>3660000</v>
      </c>
      <c r="AJ17" s="8"/>
      <c r="AK17" s="8"/>
      <c r="AL17" s="27"/>
    </row>
    <row r="18" spans="1:38" x14ac:dyDescent="0.25">
      <c r="A18" s="11" t="s">
        <v>158</v>
      </c>
      <c r="B18" s="5" t="s">
        <v>93</v>
      </c>
      <c r="C18" s="42" t="s">
        <v>266</v>
      </c>
      <c r="D18" s="99"/>
      <c r="E18" s="140"/>
      <c r="F18" s="99"/>
      <c r="G18" s="99"/>
      <c r="H18" s="102">
        <v>38100</v>
      </c>
      <c r="I18" s="102">
        <f>H18</f>
        <v>38100</v>
      </c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102"/>
      <c r="Y18" s="102"/>
      <c r="Z18" s="99"/>
      <c r="AA18" s="99"/>
      <c r="AB18" s="99"/>
      <c r="AC18" s="99"/>
      <c r="AD18" s="7">
        <f t="shared" si="0"/>
        <v>38100</v>
      </c>
      <c r="AE18" s="7">
        <f t="shared" si="1"/>
        <v>38100</v>
      </c>
      <c r="AF18" s="8"/>
      <c r="AG18" s="8"/>
      <c r="AH18" s="8">
        <f t="shared" si="2"/>
        <v>38100</v>
      </c>
      <c r="AI18" s="162">
        <f t="shared" si="3"/>
        <v>38100</v>
      </c>
      <c r="AJ18" s="8"/>
      <c r="AK18" s="8"/>
      <c r="AL18" s="27"/>
    </row>
    <row r="19" spans="1:38" ht="25.5" x14ac:dyDescent="0.25">
      <c r="A19" s="11" t="s">
        <v>159</v>
      </c>
      <c r="B19" s="5" t="s">
        <v>93</v>
      </c>
      <c r="C19" s="42" t="s">
        <v>236</v>
      </c>
      <c r="D19" s="99"/>
      <c r="E19" s="140"/>
      <c r="F19" s="99"/>
      <c r="G19" s="99"/>
      <c r="H19" s="102">
        <v>317500</v>
      </c>
      <c r="I19" s="102">
        <f>H19</f>
        <v>317500</v>
      </c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102"/>
      <c r="Y19" s="102"/>
      <c r="Z19" s="99"/>
      <c r="AA19" s="99"/>
      <c r="AB19" s="99"/>
      <c r="AC19" s="99"/>
      <c r="AD19" s="7">
        <f t="shared" si="0"/>
        <v>317500</v>
      </c>
      <c r="AE19" s="7">
        <f t="shared" si="1"/>
        <v>317500</v>
      </c>
      <c r="AF19" s="8"/>
      <c r="AG19" s="8"/>
      <c r="AH19" s="8">
        <f t="shared" si="2"/>
        <v>317500</v>
      </c>
      <c r="AI19" s="162">
        <f t="shared" si="3"/>
        <v>317500</v>
      </c>
      <c r="AJ19" s="8"/>
      <c r="AK19" s="8"/>
      <c r="AL19" s="27"/>
    </row>
    <row r="20" spans="1:38" x14ac:dyDescent="0.25">
      <c r="A20" s="11" t="s">
        <v>161</v>
      </c>
      <c r="B20" s="5" t="s">
        <v>94</v>
      </c>
      <c r="C20" s="42" t="s">
        <v>237</v>
      </c>
      <c r="D20" s="99">
        <v>311688</v>
      </c>
      <c r="E20" s="140">
        <f>D20</f>
        <v>311688</v>
      </c>
      <c r="F20" s="99">
        <v>48312</v>
      </c>
      <c r="G20" s="99">
        <f>F20</f>
        <v>48312</v>
      </c>
      <c r="H20" s="102">
        <v>2091482</v>
      </c>
      <c r="I20" s="102">
        <f>H20</f>
        <v>2091482</v>
      </c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>
        <f>1358450+7370512+1990038</f>
        <v>10719000</v>
      </c>
      <c r="U20" s="99">
        <f>T20-5715000</f>
        <v>5004000</v>
      </c>
      <c r="V20" s="99"/>
      <c r="W20" s="99"/>
      <c r="X20" s="102"/>
      <c r="Y20" s="102"/>
      <c r="Z20" s="99"/>
      <c r="AA20" s="99"/>
      <c r="AB20" s="99"/>
      <c r="AC20" s="99"/>
      <c r="AD20" s="7">
        <f t="shared" si="0"/>
        <v>13170482</v>
      </c>
      <c r="AE20" s="7">
        <f t="shared" si="1"/>
        <v>7455482</v>
      </c>
      <c r="AF20" s="8"/>
      <c r="AG20" s="8"/>
      <c r="AH20" s="8">
        <f t="shared" si="2"/>
        <v>13170482</v>
      </c>
      <c r="AI20" s="162">
        <f t="shared" si="3"/>
        <v>7455482</v>
      </c>
      <c r="AJ20" s="8"/>
      <c r="AK20" s="8"/>
      <c r="AL20" s="27"/>
    </row>
    <row r="21" spans="1:38" x14ac:dyDescent="0.25">
      <c r="A21" s="11"/>
      <c r="B21" s="5" t="s">
        <v>93</v>
      </c>
      <c r="C21" s="42" t="s">
        <v>311</v>
      </c>
      <c r="D21" s="99"/>
      <c r="E21" s="140"/>
      <c r="F21" s="99"/>
      <c r="G21" s="99"/>
      <c r="H21" s="102"/>
      <c r="I21" s="102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>
        <f>900000+243000</f>
        <v>1143000</v>
      </c>
      <c r="X21" s="102"/>
      <c r="Y21" s="102"/>
      <c r="Z21" s="99"/>
      <c r="AA21" s="99"/>
      <c r="AB21" s="99"/>
      <c r="AC21" s="99"/>
      <c r="AD21" s="7">
        <f t="shared" si="0"/>
        <v>0</v>
      </c>
      <c r="AE21" s="7">
        <f t="shared" si="1"/>
        <v>1143000</v>
      </c>
      <c r="AF21" s="8"/>
      <c r="AG21" s="8"/>
      <c r="AH21" s="8">
        <f t="shared" si="2"/>
        <v>0</v>
      </c>
      <c r="AI21" s="162">
        <f t="shared" si="3"/>
        <v>1143000</v>
      </c>
      <c r="AJ21" s="8"/>
      <c r="AK21" s="8"/>
      <c r="AL21" s="27"/>
    </row>
    <row r="22" spans="1:38" x14ac:dyDescent="0.25">
      <c r="A22" s="11" t="s">
        <v>168</v>
      </c>
      <c r="B22" s="5" t="s">
        <v>93</v>
      </c>
      <c r="C22" s="42" t="s">
        <v>238</v>
      </c>
      <c r="D22" s="99"/>
      <c r="E22" s="140"/>
      <c r="F22" s="99"/>
      <c r="G22" s="99"/>
      <c r="H22" s="102">
        <f>15240000</f>
        <v>15240000</v>
      </c>
      <c r="I22" s="102">
        <f>H22</f>
        <v>15240000</v>
      </c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>
        <v>1143000</v>
      </c>
      <c r="X22" s="102"/>
      <c r="Y22" s="102"/>
      <c r="Z22" s="99"/>
      <c r="AA22" s="99"/>
      <c r="AB22" s="99"/>
      <c r="AC22" s="99"/>
      <c r="AD22" s="7">
        <f t="shared" si="0"/>
        <v>15240000</v>
      </c>
      <c r="AE22" s="7">
        <f t="shared" si="1"/>
        <v>16383000</v>
      </c>
      <c r="AF22" s="8"/>
      <c r="AG22" s="8"/>
      <c r="AH22" s="8">
        <f t="shared" si="2"/>
        <v>15240000</v>
      </c>
      <c r="AI22" s="162">
        <f t="shared" si="3"/>
        <v>16383000</v>
      </c>
      <c r="AJ22" s="8"/>
      <c r="AK22" s="8"/>
      <c r="AL22" s="27"/>
    </row>
    <row r="23" spans="1:38" x14ac:dyDescent="0.25">
      <c r="A23" s="11" t="s">
        <v>169</v>
      </c>
      <c r="B23" s="5" t="s">
        <v>94</v>
      </c>
      <c r="C23" s="42" t="s">
        <v>267</v>
      </c>
      <c r="D23" s="99"/>
      <c r="E23" s="140"/>
      <c r="F23" s="99"/>
      <c r="G23" s="99"/>
      <c r="H23" s="102">
        <f>300000+1500000+20000+6000000+2111400</f>
        <v>9931400</v>
      </c>
      <c r="I23" s="102">
        <f>H23</f>
        <v>9931400</v>
      </c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102"/>
      <c r="Y23" s="102"/>
      <c r="Z23" s="99"/>
      <c r="AA23" s="99"/>
      <c r="AB23" s="99"/>
      <c r="AC23" s="99"/>
      <c r="AD23" s="7">
        <f t="shared" si="0"/>
        <v>9931400</v>
      </c>
      <c r="AE23" s="7">
        <f t="shared" si="1"/>
        <v>9931400</v>
      </c>
      <c r="AF23" s="8"/>
      <c r="AG23" s="8"/>
      <c r="AH23" s="8">
        <f t="shared" si="2"/>
        <v>9931400</v>
      </c>
      <c r="AI23" s="162">
        <f t="shared" si="3"/>
        <v>9931400</v>
      </c>
      <c r="AJ23" s="8"/>
      <c r="AK23" s="8"/>
      <c r="AL23" s="27"/>
    </row>
    <row r="24" spans="1:38" x14ac:dyDescent="0.25">
      <c r="A24" s="11" t="s">
        <v>170</v>
      </c>
      <c r="B24" s="5" t="s">
        <v>93</v>
      </c>
      <c r="C24" s="42" t="s">
        <v>239</v>
      </c>
      <c r="D24" s="99"/>
      <c r="E24" s="140">
        <v>6963900</v>
      </c>
      <c r="F24" s="99"/>
      <c r="G24" s="99">
        <v>1500000</v>
      </c>
      <c r="H24" s="102">
        <v>2096491</v>
      </c>
      <c r="I24" s="102">
        <f>H24</f>
        <v>2096491</v>
      </c>
      <c r="J24" s="99"/>
      <c r="K24" s="99"/>
      <c r="L24" s="99"/>
      <c r="M24" s="99"/>
      <c r="N24" s="99">
        <v>196000</v>
      </c>
      <c r="O24" s="99">
        <f>N24</f>
        <v>196000</v>
      </c>
      <c r="P24" s="99"/>
      <c r="Q24" s="99"/>
      <c r="R24" s="99"/>
      <c r="S24" s="99"/>
      <c r="T24" s="99"/>
      <c r="U24" s="99"/>
      <c r="V24" s="99"/>
      <c r="W24" s="99"/>
      <c r="X24" s="102">
        <f>20308048+99176110</f>
        <v>119484158</v>
      </c>
      <c r="Y24" s="102">
        <f>X24-500000-5685000-29670071</f>
        <v>83629087</v>
      </c>
      <c r="Z24" s="99"/>
      <c r="AA24" s="99"/>
      <c r="AB24" s="99"/>
      <c r="AC24" s="99"/>
      <c r="AD24" s="7">
        <f t="shared" si="0"/>
        <v>121776649</v>
      </c>
      <c r="AE24" s="7">
        <f t="shared" si="1"/>
        <v>94385478</v>
      </c>
      <c r="AF24" s="8"/>
      <c r="AG24" s="8"/>
      <c r="AH24" s="8">
        <f t="shared" si="2"/>
        <v>121776649</v>
      </c>
      <c r="AI24" s="162">
        <f t="shared" si="3"/>
        <v>94385478</v>
      </c>
      <c r="AJ24" s="8"/>
      <c r="AK24" s="8"/>
      <c r="AL24" s="27"/>
    </row>
    <row r="25" spans="1:38" x14ac:dyDescent="0.25">
      <c r="A25" s="11" t="s">
        <v>172</v>
      </c>
      <c r="B25" s="5" t="s">
        <v>93</v>
      </c>
      <c r="C25" s="6" t="s">
        <v>240</v>
      </c>
      <c r="D25" s="99"/>
      <c r="E25" s="140"/>
      <c r="F25" s="99"/>
      <c r="G25" s="99"/>
      <c r="H25" s="102">
        <v>2755900</v>
      </c>
      <c r="I25" s="102">
        <f>H25</f>
        <v>2755900</v>
      </c>
      <c r="J25" s="102"/>
      <c r="K25" s="102"/>
      <c r="L25" s="102"/>
      <c r="M25" s="102"/>
      <c r="N25" s="102"/>
      <c r="O25" s="102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7">
        <f t="shared" si="0"/>
        <v>2755900</v>
      </c>
      <c r="AE25" s="7">
        <f t="shared" si="1"/>
        <v>2755900</v>
      </c>
      <c r="AF25" s="8"/>
      <c r="AG25" s="8"/>
      <c r="AH25" s="8">
        <f t="shared" si="2"/>
        <v>2755900</v>
      </c>
      <c r="AI25" s="162">
        <f t="shared" si="3"/>
        <v>2755900</v>
      </c>
      <c r="AJ25" s="8"/>
      <c r="AK25" s="8">
        <v>1425</v>
      </c>
      <c r="AL25" s="27"/>
    </row>
    <row r="26" spans="1:38" x14ac:dyDescent="0.25">
      <c r="A26" s="11" t="s">
        <v>173</v>
      </c>
      <c r="B26" s="5" t="s">
        <v>93</v>
      </c>
      <c r="C26" s="6" t="s">
        <v>268</v>
      </c>
      <c r="D26" s="99">
        <v>1305600</v>
      </c>
      <c r="E26" s="140">
        <f>D26</f>
        <v>1305600</v>
      </c>
      <c r="F26" s="99">
        <v>202368</v>
      </c>
      <c r="G26" s="99">
        <f>F26</f>
        <v>202368</v>
      </c>
      <c r="H26" s="102"/>
      <c r="I26" s="102"/>
      <c r="J26" s="102"/>
      <c r="K26" s="102"/>
      <c r="L26" s="102"/>
      <c r="M26" s="102"/>
      <c r="N26" s="102"/>
      <c r="O26" s="102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7">
        <f t="shared" si="0"/>
        <v>1507968</v>
      </c>
      <c r="AE26" s="7">
        <f t="shared" si="1"/>
        <v>1507968</v>
      </c>
      <c r="AF26" s="8"/>
      <c r="AG26" s="8"/>
      <c r="AH26" s="8">
        <f t="shared" si="2"/>
        <v>1507968</v>
      </c>
      <c r="AI26" s="162">
        <f t="shared" si="3"/>
        <v>1507968</v>
      </c>
      <c r="AJ26" s="8"/>
      <c r="AK26" s="8"/>
      <c r="AL26" s="27"/>
    </row>
    <row r="27" spans="1:38" x14ac:dyDescent="0.25">
      <c r="A27" s="11" t="s">
        <v>174</v>
      </c>
      <c r="B27" s="5" t="s">
        <v>93</v>
      </c>
      <c r="C27" s="6" t="s">
        <v>269</v>
      </c>
      <c r="D27" s="99">
        <f>12500000+114960</f>
        <v>12614960</v>
      </c>
      <c r="E27" s="140">
        <f>D27</f>
        <v>12614960</v>
      </c>
      <c r="F27" s="99">
        <f>77500+1967332</f>
        <v>2044832</v>
      </c>
      <c r="G27" s="99">
        <f>F27</f>
        <v>2044832</v>
      </c>
      <c r="H27" s="102">
        <v>1884600</v>
      </c>
      <c r="I27" s="102">
        <f>H27</f>
        <v>1884600</v>
      </c>
      <c r="J27" s="102"/>
      <c r="K27" s="102"/>
      <c r="L27" s="102"/>
      <c r="M27" s="102"/>
      <c r="N27" s="102"/>
      <c r="O27" s="102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7">
        <f t="shared" si="0"/>
        <v>16544392</v>
      </c>
      <c r="AE27" s="7">
        <f t="shared" si="1"/>
        <v>16544392</v>
      </c>
      <c r="AF27" s="8"/>
      <c r="AG27" s="8"/>
      <c r="AH27" s="8">
        <f t="shared" si="2"/>
        <v>16544392</v>
      </c>
      <c r="AI27" s="162">
        <f t="shared" si="3"/>
        <v>16544392</v>
      </c>
      <c r="AJ27" s="8"/>
      <c r="AK27" s="8"/>
      <c r="AL27" s="27"/>
    </row>
    <row r="28" spans="1:38" x14ac:dyDescent="0.25">
      <c r="A28" s="11" t="s">
        <v>175</v>
      </c>
      <c r="B28" s="5" t="s">
        <v>93</v>
      </c>
      <c r="C28" s="6" t="s">
        <v>270</v>
      </c>
      <c r="D28" s="99"/>
      <c r="E28" s="140"/>
      <c r="F28" s="99"/>
      <c r="G28" s="99"/>
      <c r="H28" s="102">
        <v>25400</v>
      </c>
      <c r="I28" s="102">
        <f>H28</f>
        <v>25400</v>
      </c>
      <c r="J28" s="102"/>
      <c r="K28" s="102"/>
      <c r="L28" s="102">
        <v>228000</v>
      </c>
      <c r="M28" s="102">
        <f>L28</f>
        <v>228000</v>
      </c>
      <c r="N28" s="102"/>
      <c r="O28" s="102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7">
        <f t="shared" si="0"/>
        <v>253400</v>
      </c>
      <c r="AE28" s="7">
        <f t="shared" si="1"/>
        <v>253400</v>
      </c>
      <c r="AF28" s="8"/>
      <c r="AG28" s="8"/>
      <c r="AH28" s="8">
        <f t="shared" si="2"/>
        <v>253400</v>
      </c>
      <c r="AI28" s="162">
        <f t="shared" si="3"/>
        <v>253400</v>
      </c>
      <c r="AJ28" s="8"/>
      <c r="AK28" s="8"/>
      <c r="AL28" s="27"/>
    </row>
    <row r="29" spans="1:38" x14ac:dyDescent="0.25">
      <c r="A29" s="11" t="s">
        <v>176</v>
      </c>
      <c r="B29" s="5" t="s">
        <v>94</v>
      </c>
      <c r="C29" s="6" t="s">
        <v>271</v>
      </c>
      <c r="D29" s="99"/>
      <c r="E29" s="140"/>
      <c r="F29" s="99"/>
      <c r="G29" s="99"/>
      <c r="H29" s="102">
        <v>304800</v>
      </c>
      <c r="I29" s="102">
        <f>H29</f>
        <v>304800</v>
      </c>
      <c r="J29" s="102"/>
      <c r="K29" s="102"/>
      <c r="L29" s="102"/>
      <c r="M29" s="102"/>
      <c r="N29" s="102"/>
      <c r="O29" s="102"/>
      <c r="P29" s="99"/>
      <c r="Q29" s="99"/>
      <c r="R29" s="99"/>
      <c r="S29" s="99"/>
      <c r="T29" s="99"/>
      <c r="U29" s="99"/>
      <c r="V29" s="99"/>
      <c r="W29" s="99">
        <f>393700+106300</f>
        <v>500000</v>
      </c>
      <c r="X29" s="99"/>
      <c r="Y29" s="99"/>
      <c r="Z29" s="99"/>
      <c r="AA29" s="99"/>
      <c r="AB29" s="99"/>
      <c r="AC29" s="99"/>
      <c r="AD29" s="7">
        <f t="shared" si="0"/>
        <v>304800</v>
      </c>
      <c r="AE29" s="7">
        <f t="shared" si="1"/>
        <v>804800</v>
      </c>
      <c r="AF29" s="8"/>
      <c r="AG29" s="8"/>
      <c r="AH29" s="8">
        <f t="shared" si="2"/>
        <v>304800</v>
      </c>
      <c r="AI29" s="162">
        <f t="shared" si="3"/>
        <v>804800</v>
      </c>
      <c r="AJ29" s="8"/>
      <c r="AK29" s="8"/>
      <c r="AL29" s="27"/>
    </row>
    <row r="30" spans="1:38" x14ac:dyDescent="0.25">
      <c r="A30" s="11" t="s">
        <v>177</v>
      </c>
      <c r="B30" s="5" t="s">
        <v>93</v>
      </c>
      <c r="C30" s="6" t="s">
        <v>273</v>
      </c>
      <c r="D30" s="99"/>
      <c r="E30" s="140"/>
      <c r="F30" s="99"/>
      <c r="G30" s="99"/>
      <c r="H30" s="102"/>
      <c r="I30" s="102"/>
      <c r="J30" s="102"/>
      <c r="K30" s="102"/>
      <c r="L30" s="102">
        <v>15000000</v>
      </c>
      <c r="M30" s="102">
        <f>L30+5685000</f>
        <v>20685000</v>
      </c>
      <c r="N30" s="102"/>
      <c r="O30" s="102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7">
        <f t="shared" si="0"/>
        <v>15000000</v>
      </c>
      <c r="AE30" s="7">
        <f t="shared" si="1"/>
        <v>20685000</v>
      </c>
      <c r="AF30" s="8"/>
      <c r="AG30" s="8"/>
      <c r="AH30" s="8">
        <f t="shared" si="2"/>
        <v>15000000</v>
      </c>
      <c r="AI30" s="162">
        <f t="shared" si="3"/>
        <v>20685000</v>
      </c>
      <c r="AJ30" s="8"/>
      <c r="AK30" s="8"/>
      <c r="AL30" s="27"/>
    </row>
    <row r="31" spans="1:38" x14ac:dyDescent="0.25">
      <c r="A31" s="11" t="s">
        <v>178</v>
      </c>
      <c r="B31" s="5" t="s">
        <v>94</v>
      </c>
      <c r="C31" s="6" t="s">
        <v>272</v>
      </c>
      <c r="D31" s="99"/>
      <c r="E31" s="140"/>
      <c r="F31" s="99"/>
      <c r="G31" s="99"/>
      <c r="H31" s="102"/>
      <c r="I31" s="102"/>
      <c r="J31" s="102"/>
      <c r="K31" s="102"/>
      <c r="L31" s="102">
        <v>600000</v>
      </c>
      <c r="M31" s="102">
        <f>L31</f>
        <v>600000</v>
      </c>
      <c r="N31" s="102">
        <v>10648000</v>
      </c>
      <c r="O31" s="102">
        <f>N31</f>
        <v>10648000</v>
      </c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7">
        <f t="shared" si="0"/>
        <v>11248000</v>
      </c>
      <c r="AE31" s="7">
        <f t="shared" si="1"/>
        <v>11248000</v>
      </c>
      <c r="AF31" s="8"/>
      <c r="AG31" s="8"/>
      <c r="AH31" s="8">
        <f t="shared" si="2"/>
        <v>11248000</v>
      </c>
      <c r="AI31" s="162">
        <f t="shared" si="3"/>
        <v>11248000</v>
      </c>
      <c r="AJ31" s="8"/>
      <c r="AK31" s="8"/>
      <c r="AL31" s="27"/>
    </row>
    <row r="32" spans="1:38" x14ac:dyDescent="0.25">
      <c r="A32" s="11" t="s">
        <v>179</v>
      </c>
      <c r="B32" s="5" t="s">
        <v>93</v>
      </c>
      <c r="C32" s="6" t="s">
        <v>241</v>
      </c>
      <c r="D32" s="99"/>
      <c r="E32" s="140"/>
      <c r="F32" s="99"/>
      <c r="G32" s="99"/>
      <c r="H32" s="102"/>
      <c r="I32" s="102"/>
      <c r="J32" s="102"/>
      <c r="K32" s="102"/>
      <c r="L32" s="102"/>
      <c r="M32" s="102"/>
      <c r="N32" s="102"/>
      <c r="O32" s="102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7">
        <f t="shared" si="0"/>
        <v>0</v>
      </c>
      <c r="AE32" s="7">
        <f t="shared" si="1"/>
        <v>0</v>
      </c>
      <c r="AF32" s="8"/>
      <c r="AG32" s="8"/>
      <c r="AH32" s="8">
        <f t="shared" si="2"/>
        <v>0</v>
      </c>
      <c r="AI32" s="162">
        <f t="shared" si="3"/>
        <v>0</v>
      </c>
      <c r="AJ32" s="8"/>
      <c r="AK32" s="8"/>
      <c r="AL32" s="27"/>
    </row>
    <row r="33" spans="1:38" x14ac:dyDescent="0.25">
      <c r="A33" s="11" t="s">
        <v>180</v>
      </c>
      <c r="B33" s="5" t="s">
        <v>93</v>
      </c>
      <c r="C33" s="6" t="s">
        <v>242</v>
      </c>
      <c r="D33" s="99"/>
      <c r="E33" s="140"/>
      <c r="F33" s="99"/>
      <c r="G33" s="99"/>
      <c r="H33" s="102">
        <v>38100000</v>
      </c>
      <c r="I33" s="102">
        <f>H33</f>
        <v>38100000</v>
      </c>
      <c r="J33" s="102"/>
      <c r="K33" s="102"/>
      <c r="L33" s="102"/>
      <c r="M33" s="102"/>
      <c r="N33" s="102"/>
      <c r="O33" s="102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7">
        <f t="shared" si="0"/>
        <v>38100000</v>
      </c>
      <c r="AE33" s="7">
        <f t="shared" si="1"/>
        <v>38100000</v>
      </c>
      <c r="AF33" s="8"/>
      <c r="AG33" s="8"/>
      <c r="AH33" s="8">
        <f t="shared" si="2"/>
        <v>38100000</v>
      </c>
      <c r="AI33" s="162">
        <f t="shared" si="3"/>
        <v>38100000</v>
      </c>
      <c r="AJ33" s="8"/>
      <c r="AK33" s="8"/>
      <c r="AL33" s="27"/>
    </row>
    <row r="34" spans="1:38" x14ac:dyDescent="0.25">
      <c r="A34" s="11" t="s">
        <v>181</v>
      </c>
      <c r="B34" s="5" t="s">
        <v>93</v>
      </c>
      <c r="C34" s="6" t="s">
        <v>276</v>
      </c>
      <c r="D34" s="99"/>
      <c r="E34" s="140"/>
      <c r="F34" s="99"/>
      <c r="G34" s="99"/>
      <c r="H34" s="102"/>
      <c r="I34" s="102"/>
      <c r="J34" s="102"/>
      <c r="K34" s="102"/>
      <c r="L34" s="102"/>
      <c r="M34" s="102"/>
      <c r="N34" s="102"/>
      <c r="O34" s="102"/>
      <c r="P34" s="99"/>
      <c r="Q34" s="99"/>
      <c r="R34" s="99"/>
      <c r="S34" s="99"/>
      <c r="T34" s="99">
        <v>111098481</v>
      </c>
      <c r="U34" s="99">
        <f>T34</f>
        <v>111098481</v>
      </c>
      <c r="V34" s="99"/>
      <c r="W34" s="99"/>
      <c r="X34" s="99"/>
      <c r="Y34" s="99"/>
      <c r="Z34" s="99"/>
      <c r="AA34" s="99"/>
      <c r="AB34" s="99"/>
      <c r="AC34" s="99"/>
      <c r="AD34" s="7">
        <f t="shared" si="0"/>
        <v>111098481</v>
      </c>
      <c r="AE34" s="7">
        <f t="shared" si="1"/>
        <v>111098481</v>
      </c>
      <c r="AF34" s="8"/>
      <c r="AG34" s="8"/>
      <c r="AH34" s="8">
        <f t="shared" si="2"/>
        <v>111098481</v>
      </c>
      <c r="AI34" s="162">
        <f t="shared" si="3"/>
        <v>111098481</v>
      </c>
      <c r="AJ34" s="8"/>
      <c r="AK34" s="8"/>
      <c r="AL34" s="27"/>
    </row>
    <row r="35" spans="1:38" x14ac:dyDescent="0.25">
      <c r="A35" s="11" t="s">
        <v>182</v>
      </c>
      <c r="B35" s="5" t="s">
        <v>93</v>
      </c>
      <c r="C35" s="6" t="s">
        <v>243</v>
      </c>
      <c r="D35" s="99"/>
      <c r="E35" s="140"/>
      <c r="F35" s="99"/>
      <c r="G35" s="99"/>
      <c r="H35" s="102"/>
      <c r="I35" s="102"/>
      <c r="J35" s="102"/>
      <c r="K35" s="102"/>
      <c r="L35" s="102"/>
      <c r="M35" s="102"/>
      <c r="N35" s="102"/>
      <c r="O35" s="102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7">
        <f t="shared" si="0"/>
        <v>0</v>
      </c>
      <c r="AE35" s="7">
        <f t="shared" si="1"/>
        <v>0</v>
      </c>
      <c r="AF35" s="8"/>
      <c r="AG35" s="8"/>
      <c r="AH35" s="8">
        <f t="shared" si="2"/>
        <v>0</v>
      </c>
      <c r="AI35" s="162">
        <f t="shared" si="3"/>
        <v>0</v>
      </c>
      <c r="AJ35" s="8"/>
      <c r="AK35" s="8"/>
      <c r="AL35" s="27"/>
    </row>
    <row r="36" spans="1:38" x14ac:dyDescent="0.25">
      <c r="A36" s="11" t="s">
        <v>183</v>
      </c>
      <c r="B36" s="5" t="s">
        <v>93</v>
      </c>
      <c r="C36" s="6" t="s">
        <v>244</v>
      </c>
      <c r="D36" s="99"/>
      <c r="E36" s="140"/>
      <c r="F36" s="99"/>
      <c r="G36" s="99"/>
      <c r="H36" s="102">
        <v>952500</v>
      </c>
      <c r="I36" s="102">
        <f>H36</f>
        <v>952500</v>
      </c>
      <c r="J36" s="102"/>
      <c r="K36" s="102"/>
      <c r="L36" s="102"/>
      <c r="M36" s="102"/>
      <c r="N36" s="102"/>
      <c r="O36" s="102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7">
        <f t="shared" si="0"/>
        <v>952500</v>
      </c>
      <c r="AE36" s="7">
        <f t="shared" si="1"/>
        <v>952500</v>
      </c>
      <c r="AF36" s="8"/>
      <c r="AG36" s="8"/>
      <c r="AH36" s="8">
        <f t="shared" si="2"/>
        <v>952500</v>
      </c>
      <c r="AI36" s="162">
        <f t="shared" si="3"/>
        <v>952500</v>
      </c>
      <c r="AJ36" s="8"/>
      <c r="AK36" s="8"/>
      <c r="AL36" s="27"/>
    </row>
    <row r="37" spans="1:38" x14ac:dyDescent="0.25">
      <c r="A37" s="11" t="s">
        <v>184</v>
      </c>
      <c r="B37" s="5" t="s">
        <v>93</v>
      </c>
      <c r="C37" s="6" t="s">
        <v>245</v>
      </c>
      <c r="D37" s="99"/>
      <c r="E37" s="140"/>
      <c r="F37" s="99"/>
      <c r="G37" s="99"/>
      <c r="H37" s="102"/>
      <c r="I37" s="102"/>
      <c r="J37" s="102"/>
      <c r="K37" s="102"/>
      <c r="L37" s="102"/>
      <c r="M37" s="102"/>
      <c r="N37" s="102"/>
      <c r="O37" s="102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7">
        <f t="shared" si="0"/>
        <v>0</v>
      </c>
      <c r="AE37" s="7">
        <f t="shared" si="1"/>
        <v>0</v>
      </c>
      <c r="AF37" s="8"/>
      <c r="AG37" s="8"/>
      <c r="AH37" s="8">
        <f t="shared" si="2"/>
        <v>0</v>
      </c>
      <c r="AI37" s="162">
        <f t="shared" si="3"/>
        <v>0</v>
      </c>
      <c r="AJ37" s="8"/>
      <c r="AK37" s="8">
        <v>146</v>
      </c>
      <c r="AL37" s="27"/>
    </row>
    <row r="38" spans="1:38" x14ac:dyDescent="0.25">
      <c r="A38" s="11" t="s">
        <v>185</v>
      </c>
      <c r="B38" s="5" t="s">
        <v>93</v>
      </c>
      <c r="C38" s="6" t="s">
        <v>246</v>
      </c>
      <c r="D38" s="99"/>
      <c r="E38" s="140"/>
      <c r="F38" s="99"/>
      <c r="G38" s="99"/>
      <c r="H38" s="102"/>
      <c r="I38" s="102"/>
      <c r="J38" s="102"/>
      <c r="K38" s="102"/>
      <c r="L38" s="102"/>
      <c r="M38" s="102"/>
      <c r="N38" s="102"/>
      <c r="O38" s="102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7">
        <f t="shared" si="0"/>
        <v>0</v>
      </c>
      <c r="AE38" s="7">
        <f t="shared" si="1"/>
        <v>0</v>
      </c>
      <c r="AF38" s="8"/>
      <c r="AG38" s="8"/>
      <c r="AH38" s="8">
        <f t="shared" si="2"/>
        <v>0</v>
      </c>
      <c r="AI38" s="162">
        <f t="shared" si="3"/>
        <v>0</v>
      </c>
      <c r="AJ38" s="8"/>
      <c r="AK38" s="8">
        <v>132</v>
      </c>
      <c r="AL38" s="27"/>
    </row>
    <row r="39" spans="1:38" x14ac:dyDescent="0.25">
      <c r="A39" s="11" t="s">
        <v>186</v>
      </c>
      <c r="B39" s="5" t="s">
        <v>93</v>
      </c>
      <c r="C39" s="6" t="s">
        <v>247</v>
      </c>
      <c r="D39" s="99"/>
      <c r="E39" s="140"/>
      <c r="F39" s="99"/>
      <c r="G39" s="99"/>
      <c r="H39" s="102"/>
      <c r="I39" s="102"/>
      <c r="J39" s="102">
        <v>29774000</v>
      </c>
      <c r="K39" s="102">
        <f>J39</f>
        <v>29774000</v>
      </c>
      <c r="L39" s="99">
        <v>200000</v>
      </c>
      <c r="M39" s="99">
        <f>L39</f>
        <v>200000</v>
      </c>
      <c r="N39" s="99"/>
      <c r="O39" s="99"/>
      <c r="P39" s="99"/>
      <c r="Q39" s="99"/>
      <c r="R39" s="99"/>
      <c r="S39" s="99"/>
      <c r="T39" s="99"/>
      <c r="U39" s="99"/>
      <c r="V39" s="104"/>
      <c r="W39" s="104"/>
      <c r="X39" s="7"/>
      <c r="Y39" s="7"/>
      <c r="Z39" s="74"/>
      <c r="AA39" s="74"/>
      <c r="AB39" s="74"/>
      <c r="AC39" s="74"/>
      <c r="AD39" s="7">
        <f t="shared" si="0"/>
        <v>29974000</v>
      </c>
      <c r="AE39" s="7">
        <f t="shared" si="1"/>
        <v>29974000</v>
      </c>
      <c r="AF39" s="74"/>
      <c r="AG39" s="74"/>
      <c r="AH39" s="8">
        <f t="shared" si="2"/>
        <v>29974000</v>
      </c>
      <c r="AI39" s="162">
        <f t="shared" si="3"/>
        <v>29974000</v>
      </c>
      <c r="AJ39" s="18"/>
      <c r="AK39" s="43">
        <v>10579</v>
      </c>
      <c r="AL39" s="27"/>
    </row>
    <row r="40" spans="1:38" x14ac:dyDescent="0.25">
      <c r="A40" s="11" t="s">
        <v>187</v>
      </c>
      <c r="B40" s="5" t="s">
        <v>93</v>
      </c>
      <c r="C40" s="6" t="s">
        <v>248</v>
      </c>
      <c r="D40" s="99"/>
      <c r="E40" s="140"/>
      <c r="F40" s="99"/>
      <c r="G40" s="99"/>
      <c r="H40" s="102"/>
      <c r="I40" s="102"/>
      <c r="J40" s="102"/>
      <c r="K40" s="102"/>
      <c r="L40" s="99"/>
      <c r="M40" s="99"/>
      <c r="N40" s="99"/>
      <c r="O40" s="99"/>
      <c r="P40" s="102"/>
      <c r="Q40" s="102"/>
      <c r="R40" s="102"/>
      <c r="S40" s="102"/>
      <c r="T40" s="99"/>
      <c r="U40" s="99"/>
      <c r="V40" s="104"/>
      <c r="W40" s="99"/>
      <c r="X40" s="7"/>
      <c r="Y40" s="99"/>
      <c r="Z40" s="74"/>
      <c r="AA40" s="99"/>
      <c r="AB40" s="99"/>
      <c r="AC40" s="99"/>
      <c r="AD40" s="7">
        <f t="shared" si="0"/>
        <v>0</v>
      </c>
      <c r="AE40" s="7">
        <f t="shared" si="1"/>
        <v>0</v>
      </c>
      <c r="AF40" s="8"/>
      <c r="AG40" s="8"/>
      <c r="AH40" s="8">
        <f t="shared" si="2"/>
        <v>0</v>
      </c>
      <c r="AI40" s="162">
        <f t="shared" si="3"/>
        <v>0</v>
      </c>
      <c r="AJ40" s="8"/>
      <c r="AK40" s="8">
        <v>2140</v>
      </c>
      <c r="AL40" s="27"/>
    </row>
    <row r="41" spans="1:38" x14ac:dyDescent="0.25">
      <c r="A41" s="11" t="s">
        <v>188</v>
      </c>
      <c r="B41" s="5" t="s">
        <v>94</v>
      </c>
      <c r="C41" s="6" t="s">
        <v>274</v>
      </c>
      <c r="D41" s="99"/>
      <c r="E41" s="140"/>
      <c r="F41" s="99">
        <v>4893988</v>
      </c>
      <c r="G41" s="99">
        <f>F41</f>
        <v>4893988</v>
      </c>
      <c r="H41" s="102">
        <v>167071</v>
      </c>
      <c r="I41" s="102">
        <f>H41</f>
        <v>167071</v>
      </c>
      <c r="J41" s="102"/>
      <c r="K41" s="102"/>
      <c r="L41" s="99"/>
      <c r="M41" s="99"/>
      <c r="N41" s="99"/>
      <c r="O41" s="99"/>
      <c r="P41" s="102"/>
      <c r="Q41" s="102"/>
      <c r="R41" s="102"/>
      <c r="S41" s="102"/>
      <c r="T41" s="99"/>
      <c r="U41" s="99"/>
      <c r="V41" s="104"/>
      <c r="W41" s="99"/>
      <c r="X41" s="7"/>
      <c r="Y41" s="99"/>
      <c r="Z41" s="74"/>
      <c r="AA41" s="99"/>
      <c r="AB41" s="99"/>
      <c r="AC41" s="99"/>
      <c r="AD41" s="7">
        <f t="shared" si="0"/>
        <v>5061059</v>
      </c>
      <c r="AE41" s="7">
        <f t="shared" si="1"/>
        <v>5061059</v>
      </c>
      <c r="AF41" s="8"/>
      <c r="AG41" s="8"/>
      <c r="AH41" s="8">
        <f t="shared" si="2"/>
        <v>5061059</v>
      </c>
      <c r="AI41" s="162">
        <f t="shared" si="3"/>
        <v>5061059</v>
      </c>
      <c r="AJ41" s="8"/>
      <c r="AK41" s="8"/>
      <c r="AL41" s="27"/>
    </row>
    <row r="42" spans="1:38" x14ac:dyDescent="0.25">
      <c r="A42" s="11" t="s">
        <v>189</v>
      </c>
      <c r="B42" s="5" t="s">
        <v>93</v>
      </c>
      <c r="C42" s="6" t="s">
        <v>140</v>
      </c>
      <c r="D42" s="100"/>
      <c r="E42" s="120"/>
      <c r="F42" s="100"/>
      <c r="G42" s="100"/>
      <c r="H42" s="103"/>
      <c r="I42" s="103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99"/>
      <c r="W42" s="99"/>
      <c r="X42" s="99"/>
      <c r="Y42" s="99"/>
      <c r="Z42" s="99"/>
      <c r="AA42" s="99"/>
      <c r="AB42" s="99"/>
      <c r="AC42" s="99"/>
      <c r="AD42" s="7">
        <f t="shared" si="0"/>
        <v>0</v>
      </c>
      <c r="AE42" s="7">
        <f t="shared" si="1"/>
        <v>0</v>
      </c>
      <c r="AF42" s="8"/>
      <c r="AG42" s="8"/>
      <c r="AH42" s="8">
        <f t="shared" si="2"/>
        <v>0</v>
      </c>
      <c r="AI42" s="162">
        <f t="shared" si="3"/>
        <v>0</v>
      </c>
      <c r="AJ42" s="8"/>
      <c r="AK42" s="8"/>
      <c r="AL42" s="27"/>
    </row>
    <row r="43" spans="1:38" x14ac:dyDescent="0.25">
      <c r="A43" s="11" t="s">
        <v>190</v>
      </c>
      <c r="B43" s="5" t="s">
        <v>94</v>
      </c>
      <c r="C43" s="6" t="s">
        <v>249</v>
      </c>
      <c r="D43" s="100"/>
      <c r="E43" s="120"/>
      <c r="F43" s="100"/>
      <c r="G43" s="100"/>
      <c r="H43" s="103"/>
      <c r="I43" s="103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99"/>
      <c r="W43" s="99"/>
      <c r="X43" s="99"/>
      <c r="Y43" s="99"/>
      <c r="Z43" s="99"/>
      <c r="AA43" s="99"/>
      <c r="AB43" s="99"/>
      <c r="AC43" s="99"/>
      <c r="AD43" s="7">
        <f t="shared" si="0"/>
        <v>0</v>
      </c>
      <c r="AE43" s="7">
        <f t="shared" si="1"/>
        <v>0</v>
      </c>
      <c r="AF43" s="8"/>
      <c r="AG43" s="8"/>
      <c r="AH43" s="8">
        <f t="shared" si="2"/>
        <v>0</v>
      </c>
      <c r="AI43" s="162">
        <f t="shared" si="3"/>
        <v>0</v>
      </c>
      <c r="AJ43" s="8"/>
      <c r="AK43" s="8">
        <v>66</v>
      </c>
      <c r="AL43" s="27"/>
    </row>
    <row r="44" spans="1:38" ht="15.75" x14ac:dyDescent="0.25">
      <c r="A44" s="11" t="s">
        <v>191</v>
      </c>
      <c r="B44" s="5"/>
      <c r="C44" s="14" t="s">
        <v>108</v>
      </c>
      <c r="D44" s="7">
        <f t="shared" ref="D44:AG44" si="4">SUM(D7:D43)</f>
        <v>54670708</v>
      </c>
      <c r="E44" s="7">
        <f t="shared" si="4"/>
        <v>104737828</v>
      </c>
      <c r="F44" s="7">
        <f t="shared" si="4"/>
        <v>12103202</v>
      </c>
      <c r="G44" s="7">
        <f t="shared" si="4"/>
        <v>16378465</v>
      </c>
      <c r="H44" s="7">
        <f t="shared" si="4"/>
        <v>127911144</v>
      </c>
      <c r="I44" s="7">
        <f t="shared" si="4"/>
        <v>126781144</v>
      </c>
      <c r="J44" s="7">
        <f t="shared" si="4"/>
        <v>29774000</v>
      </c>
      <c r="K44" s="7">
        <f t="shared" si="4"/>
        <v>29774000</v>
      </c>
      <c r="L44" s="7">
        <f t="shared" si="4"/>
        <v>16028000</v>
      </c>
      <c r="M44" s="7">
        <f t="shared" si="4"/>
        <v>21713000</v>
      </c>
      <c r="N44" s="7">
        <f t="shared" si="4"/>
        <v>10844000</v>
      </c>
      <c r="O44" s="7">
        <f t="shared" si="4"/>
        <v>10844000</v>
      </c>
      <c r="P44" s="7">
        <f t="shared" si="4"/>
        <v>0</v>
      </c>
      <c r="Q44" s="7">
        <f t="shared" si="4"/>
        <v>0</v>
      </c>
      <c r="R44" s="7">
        <f t="shared" si="4"/>
        <v>0</v>
      </c>
      <c r="S44" s="7">
        <f t="shared" si="4"/>
        <v>0</v>
      </c>
      <c r="T44" s="7">
        <f t="shared" si="4"/>
        <v>121817481</v>
      </c>
      <c r="U44" s="7">
        <f t="shared" si="4"/>
        <v>116102481</v>
      </c>
      <c r="V44" s="7">
        <f t="shared" si="4"/>
        <v>2286000</v>
      </c>
      <c r="W44" s="7">
        <f t="shared" si="4"/>
        <v>8501000</v>
      </c>
      <c r="X44" s="7">
        <f t="shared" si="4"/>
        <v>119484158</v>
      </c>
      <c r="Y44" s="7">
        <f t="shared" si="4"/>
        <v>83629087</v>
      </c>
      <c r="Z44" s="7">
        <f t="shared" si="4"/>
        <v>22221723</v>
      </c>
      <c r="AA44" s="7">
        <f t="shared" si="4"/>
        <v>22221723</v>
      </c>
      <c r="AB44" s="7">
        <f t="shared" si="4"/>
        <v>5000000</v>
      </c>
      <c r="AC44" s="7">
        <f t="shared" si="4"/>
        <v>5000000</v>
      </c>
      <c r="AD44" s="7">
        <f>SUM(AD7:AD43)</f>
        <v>522140416</v>
      </c>
      <c r="AE44" s="7">
        <f t="shared" si="4"/>
        <v>545682728</v>
      </c>
      <c r="AF44" s="7">
        <f t="shared" si="4"/>
        <v>419434359</v>
      </c>
      <c r="AG44" s="7">
        <f t="shared" si="4"/>
        <v>428495940</v>
      </c>
      <c r="AH44" s="8">
        <f t="shared" si="2"/>
        <v>941574775</v>
      </c>
      <c r="AI44" s="7">
        <f>SUM(AI7:AI43)</f>
        <v>974178668</v>
      </c>
      <c r="AJ44" s="7">
        <f>SUM(AJ7:AJ43)</f>
        <v>0</v>
      </c>
      <c r="AK44" s="7">
        <f>SUM(AK7:AK43)</f>
        <v>19324</v>
      </c>
      <c r="AL44" s="27"/>
    </row>
    <row r="45" spans="1:38" ht="15.75" x14ac:dyDescent="0.25">
      <c r="A45" s="11" t="s">
        <v>192</v>
      </c>
      <c r="B45" s="5"/>
      <c r="C45" s="14" t="s">
        <v>145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39"/>
      <c r="AJ45" s="44"/>
      <c r="AK45" s="44"/>
    </row>
    <row r="46" spans="1:38" ht="15.75" x14ac:dyDescent="0.25">
      <c r="A46" s="11" t="s">
        <v>193</v>
      </c>
      <c r="B46" s="11"/>
      <c r="C46" s="47" t="s">
        <v>146</v>
      </c>
      <c r="D46" s="76">
        <v>1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>
        <f>AE44-AD44</f>
        <v>23542312</v>
      </c>
      <c r="AF46" s="76"/>
      <c r="AG46" s="76"/>
      <c r="AH46" s="76"/>
      <c r="AI46" s="76"/>
      <c r="AJ46" s="46"/>
      <c r="AK46" s="46"/>
      <c r="AL46" s="27"/>
    </row>
    <row r="47" spans="1:38" ht="15.75" x14ac:dyDescent="0.25">
      <c r="A47" s="11" t="s">
        <v>194</v>
      </c>
      <c r="B47" s="11"/>
      <c r="C47" s="47" t="s">
        <v>147</v>
      </c>
      <c r="D47" s="76">
        <v>6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46"/>
      <c r="AK47" s="46"/>
    </row>
    <row r="48" spans="1:38" ht="15.75" x14ac:dyDescent="0.25">
      <c r="A48" s="11" t="s">
        <v>195</v>
      </c>
      <c r="B48" s="11"/>
      <c r="C48" s="47" t="s">
        <v>227</v>
      </c>
      <c r="D48" s="76">
        <v>0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46"/>
      <c r="AK48" s="46"/>
      <c r="AL48" s="27"/>
    </row>
    <row r="49" spans="1:38" ht="15.75" x14ac:dyDescent="0.25">
      <c r="A49" s="11" t="s">
        <v>196</v>
      </c>
      <c r="B49" s="11"/>
      <c r="C49" s="47" t="s">
        <v>157</v>
      </c>
      <c r="D49" s="76">
        <v>51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46"/>
      <c r="AK49" s="46"/>
    </row>
    <row r="50" spans="1:38" ht="15.75" x14ac:dyDescent="0.25">
      <c r="A50" s="11" t="s">
        <v>197</v>
      </c>
      <c r="B50" s="11"/>
      <c r="C50" s="47" t="s">
        <v>226</v>
      </c>
      <c r="D50" s="76">
        <v>0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46"/>
      <c r="AK50" s="46"/>
    </row>
    <row r="51" spans="1:38" ht="15.75" x14ac:dyDescent="0.25">
      <c r="A51" s="11" t="s">
        <v>198</v>
      </c>
      <c r="B51" s="11"/>
      <c r="C51" s="47" t="s">
        <v>224</v>
      </c>
      <c r="D51" s="76">
        <v>11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46"/>
      <c r="AK51" s="46"/>
    </row>
    <row r="52" spans="1:38" ht="15.75" x14ac:dyDescent="0.25">
      <c r="A52" s="11" t="s">
        <v>199</v>
      </c>
      <c r="B52" s="11"/>
      <c r="C52" s="47" t="s">
        <v>225</v>
      </c>
      <c r="D52" s="76">
        <v>1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46"/>
      <c r="AK52" s="46"/>
    </row>
    <row r="53" spans="1:38" s="22" customFormat="1" ht="15.75" x14ac:dyDescent="0.25">
      <c r="A53" s="11" t="s">
        <v>200</v>
      </c>
      <c r="B53" s="45"/>
      <c r="C53" s="48" t="s">
        <v>79</v>
      </c>
      <c r="D53" s="7">
        <f>SUM(D46:D52)</f>
        <v>70</v>
      </c>
      <c r="E53" s="7">
        <f>SUM(E46:E52)</f>
        <v>0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39"/>
      <c r="AJ53" s="44"/>
      <c r="AK53" s="44"/>
    </row>
    <row r="54" spans="1:38" s="168" customFormat="1" ht="15.75" x14ac:dyDescent="0.25">
      <c r="A54" s="165" t="s">
        <v>201</v>
      </c>
      <c r="B54" s="165"/>
      <c r="C54" s="166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>
        <f t="shared" ref="AJ54:AK54" si="5">AJ55+AJ56</f>
        <v>0</v>
      </c>
      <c r="AK54" s="167">
        <f t="shared" si="5"/>
        <v>19324</v>
      </c>
    </row>
    <row r="55" spans="1:38" x14ac:dyDescent="0.25">
      <c r="A55" s="11" t="s">
        <v>202</v>
      </c>
      <c r="B55" s="5"/>
      <c r="C55" s="18" t="s">
        <v>98</v>
      </c>
      <c r="D55" s="74">
        <f>SUMIF($B7:$B43,"kötelező",D7:D43)</f>
        <v>54359020</v>
      </c>
      <c r="E55" s="74">
        <f t="shared" ref="E55:AK55" si="6">SUMIF($B7:$B43,"kötelező",E7:E43)</f>
        <v>104426140</v>
      </c>
      <c r="F55" s="74">
        <f t="shared" si="6"/>
        <v>7160902</v>
      </c>
      <c r="G55" s="74">
        <f t="shared" si="6"/>
        <v>11436165</v>
      </c>
      <c r="H55" s="74">
        <f t="shared" si="6"/>
        <v>105342891</v>
      </c>
      <c r="I55" s="74">
        <f t="shared" si="6"/>
        <v>104212891</v>
      </c>
      <c r="J55" s="74">
        <f t="shared" si="6"/>
        <v>29774000</v>
      </c>
      <c r="K55" s="74">
        <f t="shared" si="6"/>
        <v>29774000</v>
      </c>
      <c r="L55" s="74">
        <f t="shared" si="6"/>
        <v>15428000</v>
      </c>
      <c r="M55" s="74">
        <f t="shared" si="6"/>
        <v>21113000</v>
      </c>
      <c r="N55" s="74">
        <f t="shared" si="6"/>
        <v>196000</v>
      </c>
      <c r="O55" s="74">
        <f t="shared" si="6"/>
        <v>196000</v>
      </c>
      <c r="P55" s="74">
        <f t="shared" si="6"/>
        <v>0</v>
      </c>
      <c r="Q55" s="74">
        <f t="shared" si="6"/>
        <v>0</v>
      </c>
      <c r="R55" s="74">
        <f t="shared" si="6"/>
        <v>0</v>
      </c>
      <c r="S55" s="74">
        <f t="shared" si="6"/>
        <v>0</v>
      </c>
      <c r="T55" s="74">
        <f t="shared" si="6"/>
        <v>111098481</v>
      </c>
      <c r="U55" s="74">
        <f t="shared" si="6"/>
        <v>111098481</v>
      </c>
      <c r="V55" s="74">
        <f t="shared" si="6"/>
        <v>2286000</v>
      </c>
      <c r="W55" s="74">
        <f t="shared" si="6"/>
        <v>8001000</v>
      </c>
      <c r="X55" s="74">
        <f t="shared" si="6"/>
        <v>119484158</v>
      </c>
      <c r="Y55" s="74">
        <f t="shared" si="6"/>
        <v>83629087</v>
      </c>
      <c r="Z55" s="74">
        <f t="shared" si="6"/>
        <v>22221723</v>
      </c>
      <c r="AA55" s="74">
        <f t="shared" si="6"/>
        <v>22221723</v>
      </c>
      <c r="AB55" s="74">
        <f t="shared" si="6"/>
        <v>5000000</v>
      </c>
      <c r="AC55" s="74">
        <f t="shared" si="6"/>
        <v>5000000</v>
      </c>
      <c r="AD55" s="74">
        <f t="shared" si="6"/>
        <v>472351175</v>
      </c>
      <c r="AE55" s="74">
        <f t="shared" si="6"/>
        <v>501108487</v>
      </c>
      <c r="AF55" s="74">
        <f t="shared" si="6"/>
        <v>419434359</v>
      </c>
      <c r="AG55" s="74">
        <f t="shared" si="6"/>
        <v>428495940</v>
      </c>
      <c r="AH55" s="74">
        <f t="shared" si="6"/>
        <v>891785534</v>
      </c>
      <c r="AI55" s="74">
        <f t="shared" si="6"/>
        <v>929604427</v>
      </c>
      <c r="AJ55" s="74">
        <f t="shared" si="6"/>
        <v>0</v>
      </c>
      <c r="AK55" s="74">
        <f t="shared" si="6"/>
        <v>19258</v>
      </c>
    </row>
    <row r="56" spans="1:38" x14ac:dyDescent="0.25">
      <c r="A56" s="11" t="s">
        <v>203</v>
      </c>
      <c r="B56" s="5"/>
      <c r="C56" s="18" t="s">
        <v>99</v>
      </c>
      <c r="D56" s="74">
        <f>SUMIF($B7:$B43,"nem kötelező",D7:D43)</f>
        <v>311688</v>
      </c>
      <c r="E56" s="74">
        <f t="shared" ref="E56:AK56" si="7">SUMIF($B7:$B43,"nem kötelező",E7:E43)</f>
        <v>311688</v>
      </c>
      <c r="F56" s="74">
        <f t="shared" si="7"/>
        <v>4942300</v>
      </c>
      <c r="G56" s="74">
        <f t="shared" si="7"/>
        <v>4942300</v>
      </c>
      <c r="H56" s="74">
        <f t="shared" si="7"/>
        <v>22568253</v>
      </c>
      <c r="I56" s="74">
        <f t="shared" si="7"/>
        <v>22568253</v>
      </c>
      <c r="J56" s="74">
        <f t="shared" si="7"/>
        <v>0</v>
      </c>
      <c r="K56" s="74">
        <f t="shared" si="7"/>
        <v>0</v>
      </c>
      <c r="L56" s="74">
        <f t="shared" si="7"/>
        <v>600000</v>
      </c>
      <c r="M56" s="74">
        <f t="shared" si="7"/>
        <v>600000</v>
      </c>
      <c r="N56" s="74">
        <f t="shared" si="7"/>
        <v>10648000</v>
      </c>
      <c r="O56" s="74">
        <f t="shared" si="7"/>
        <v>10648000</v>
      </c>
      <c r="P56" s="74">
        <f t="shared" si="7"/>
        <v>0</v>
      </c>
      <c r="Q56" s="74">
        <f t="shared" si="7"/>
        <v>0</v>
      </c>
      <c r="R56" s="74">
        <f t="shared" si="7"/>
        <v>0</v>
      </c>
      <c r="S56" s="74">
        <f t="shared" si="7"/>
        <v>0</v>
      </c>
      <c r="T56" s="74">
        <f t="shared" si="7"/>
        <v>10719000</v>
      </c>
      <c r="U56" s="74">
        <f t="shared" si="7"/>
        <v>5004000</v>
      </c>
      <c r="V56" s="74">
        <f t="shared" si="7"/>
        <v>0</v>
      </c>
      <c r="W56" s="74">
        <f t="shared" si="7"/>
        <v>500000</v>
      </c>
      <c r="X56" s="74">
        <f t="shared" si="7"/>
        <v>0</v>
      </c>
      <c r="Y56" s="74">
        <f t="shared" si="7"/>
        <v>0</v>
      </c>
      <c r="Z56" s="74">
        <f t="shared" si="7"/>
        <v>0</v>
      </c>
      <c r="AA56" s="74">
        <f t="shared" si="7"/>
        <v>0</v>
      </c>
      <c r="AB56" s="74">
        <f t="shared" si="7"/>
        <v>0</v>
      </c>
      <c r="AC56" s="74">
        <f t="shared" si="7"/>
        <v>0</v>
      </c>
      <c r="AD56" s="74">
        <f t="shared" si="7"/>
        <v>49789241</v>
      </c>
      <c r="AE56" s="74">
        <f t="shared" si="7"/>
        <v>44574241</v>
      </c>
      <c r="AF56" s="74">
        <f t="shared" si="7"/>
        <v>0</v>
      </c>
      <c r="AG56" s="74">
        <f t="shared" si="7"/>
        <v>0</v>
      </c>
      <c r="AH56" s="74">
        <f t="shared" si="7"/>
        <v>49789241</v>
      </c>
      <c r="AI56" s="74">
        <f t="shared" si="7"/>
        <v>44574241</v>
      </c>
      <c r="AJ56" s="74">
        <f t="shared" si="7"/>
        <v>0</v>
      </c>
      <c r="AK56" s="74">
        <f t="shared" si="7"/>
        <v>66</v>
      </c>
    </row>
    <row r="57" spans="1:38" s="22" customFormat="1" x14ac:dyDescent="0.25">
      <c r="A57" s="11" t="s">
        <v>204</v>
      </c>
      <c r="B57" s="20"/>
      <c r="C57" s="21" t="s">
        <v>307</v>
      </c>
      <c r="D57" s="101">
        <f>SUM(D58:D59)</f>
        <v>106325004</v>
      </c>
      <c r="E57" s="101">
        <f>SUM(E58:E59)</f>
        <v>104400504</v>
      </c>
      <c r="F57" s="101">
        <f t="shared" ref="F57:AG57" si="8">SUM(F58:F59)</f>
        <v>15767994</v>
      </c>
      <c r="G57" s="101">
        <f t="shared" si="8"/>
        <v>15767994</v>
      </c>
      <c r="H57" s="101">
        <f t="shared" si="8"/>
        <v>5059272</v>
      </c>
      <c r="I57" s="101">
        <f t="shared" si="8"/>
        <v>6580972</v>
      </c>
      <c r="J57" s="101">
        <f t="shared" si="8"/>
        <v>0</v>
      </c>
      <c r="K57" s="101">
        <f t="shared" si="8"/>
        <v>0</v>
      </c>
      <c r="L57" s="101">
        <f t="shared" si="8"/>
        <v>0</v>
      </c>
      <c r="M57" s="101">
        <f t="shared" si="8"/>
        <v>0</v>
      </c>
      <c r="N57" s="101">
        <f t="shared" si="8"/>
        <v>0</v>
      </c>
      <c r="O57" s="101">
        <f t="shared" si="8"/>
        <v>0</v>
      </c>
      <c r="P57" s="101">
        <f t="shared" si="8"/>
        <v>0</v>
      </c>
      <c r="Q57" s="101">
        <f t="shared" si="8"/>
        <v>0</v>
      </c>
      <c r="R57" s="101">
        <v>0</v>
      </c>
      <c r="S57" s="101">
        <v>0</v>
      </c>
      <c r="T57" s="101">
        <f t="shared" si="8"/>
        <v>0</v>
      </c>
      <c r="U57" s="101">
        <f t="shared" si="8"/>
        <v>458015</v>
      </c>
      <c r="V57" s="101">
        <f t="shared" si="8"/>
        <v>0</v>
      </c>
      <c r="W57" s="101"/>
      <c r="X57" s="101">
        <f t="shared" si="8"/>
        <v>0</v>
      </c>
      <c r="Y57" s="101"/>
      <c r="Z57" s="101">
        <f t="shared" si="8"/>
        <v>0</v>
      </c>
      <c r="AA57" s="101"/>
      <c r="AB57" s="101"/>
      <c r="AC57" s="101"/>
      <c r="AD57" s="101">
        <f>SUM(AD58:AD59)</f>
        <v>127152270</v>
      </c>
      <c r="AE57" s="101">
        <f>SUM(AE58:AE59)</f>
        <v>127207485</v>
      </c>
      <c r="AF57" s="127">
        <f t="shared" si="8"/>
        <v>0</v>
      </c>
      <c r="AG57" s="127">
        <f t="shared" si="8"/>
        <v>125831834</v>
      </c>
      <c r="AH57" s="127">
        <f>AD57+AF57</f>
        <v>127152270</v>
      </c>
      <c r="AI57" s="8">
        <f>AE57</f>
        <v>127207485</v>
      </c>
      <c r="AJ57" s="19"/>
      <c r="AK57" s="19"/>
      <c r="AL57" s="157"/>
    </row>
    <row r="58" spans="1:38" x14ac:dyDescent="0.25">
      <c r="A58" s="11" t="s">
        <v>205</v>
      </c>
      <c r="B58" s="5" t="s">
        <v>93</v>
      </c>
      <c r="C58" s="23" t="s">
        <v>98</v>
      </c>
      <c r="D58" s="99">
        <f>'7.PMH kiad'!D8</f>
        <v>0</v>
      </c>
      <c r="E58" s="99"/>
      <c r="F58" s="99">
        <f>'7.PMH kiad'!F8</f>
        <v>0</v>
      </c>
      <c r="G58" s="99"/>
      <c r="H58" s="99">
        <f>'7.PMH kiad'!H8</f>
        <v>0</v>
      </c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>
        <f>'7.PMH kiad'!N12</f>
        <v>0</v>
      </c>
      <c r="U58" s="99"/>
      <c r="V58" s="99"/>
      <c r="W58" s="99"/>
      <c r="X58" s="99"/>
      <c r="Y58" s="99"/>
      <c r="Z58" s="99"/>
      <c r="AA58" s="99"/>
      <c r="AB58" s="99"/>
      <c r="AC58" s="99"/>
      <c r="AD58" s="99">
        <f>D58+F58+H58+J58+L58+N58+P58+R58+T58+V58+X58+Z58</f>
        <v>0</v>
      </c>
      <c r="AE58" s="99"/>
      <c r="AF58" s="128"/>
      <c r="AG58" s="128">
        <f>'3.mellékletPH.bev.'!Q8</f>
        <v>125831834</v>
      </c>
      <c r="AH58" s="127">
        <f t="shared" ref="AH58:AH65" si="9">AD58+AF58</f>
        <v>0</v>
      </c>
      <c r="AI58" s="8">
        <f t="shared" ref="AI58:AI65" si="10">AE58</f>
        <v>0</v>
      </c>
      <c r="AJ58" s="24"/>
      <c r="AK58" s="24"/>
    </row>
    <row r="59" spans="1:38" x14ac:dyDescent="0.25">
      <c r="A59" s="11" t="s">
        <v>206</v>
      </c>
      <c r="B59" s="5" t="s">
        <v>134</v>
      </c>
      <c r="C59" s="23" t="s">
        <v>133</v>
      </c>
      <c r="D59" s="99">
        <f>'7.PMH kiad'!D7</f>
        <v>106325004</v>
      </c>
      <c r="E59" s="99">
        <f>'7.PMH kiad'!E13</f>
        <v>104400504</v>
      </c>
      <c r="F59" s="99">
        <f>'7.PMH kiad'!F7</f>
        <v>15767994</v>
      </c>
      <c r="G59" s="99">
        <f>'7.PMH kiad'!G13</f>
        <v>15767994</v>
      </c>
      <c r="H59" s="99">
        <f>'7.PMH kiad'!H7</f>
        <v>5059272</v>
      </c>
      <c r="I59" s="99">
        <f>'7.PMH kiad'!I13</f>
        <v>6580972</v>
      </c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>
        <f>'7.PMH kiad'!O13</f>
        <v>458015</v>
      </c>
      <c r="V59" s="99"/>
      <c r="W59" s="99"/>
      <c r="X59" s="99"/>
      <c r="Y59" s="99"/>
      <c r="Z59" s="99"/>
      <c r="AA59" s="99"/>
      <c r="AB59" s="99"/>
      <c r="AC59" s="99"/>
      <c r="AD59" s="99">
        <f>D59+F59+H59+J59+L59+N59+P59+R59+T59+V59+X59+Z59</f>
        <v>127152270</v>
      </c>
      <c r="AE59" s="99">
        <f>E59+G59+I59+K59+M59+O59+Q59+S59+U59+W59+Y59+AA59+AC59</f>
        <v>127207485</v>
      </c>
      <c r="AF59" s="128"/>
      <c r="AG59" s="128"/>
      <c r="AH59" s="127">
        <f t="shared" si="9"/>
        <v>127152270</v>
      </c>
      <c r="AI59" s="8">
        <f t="shared" si="10"/>
        <v>127207485</v>
      </c>
      <c r="AJ59" s="24"/>
      <c r="AK59" s="24"/>
    </row>
    <row r="60" spans="1:38" s="22" customFormat="1" x14ac:dyDescent="0.25">
      <c r="A60" s="11" t="s">
        <v>207</v>
      </c>
      <c r="B60" s="20"/>
      <c r="C60" s="21" t="s">
        <v>312</v>
      </c>
      <c r="D60" s="101">
        <f>SUM(D61:D62)</f>
        <v>100950377</v>
      </c>
      <c r="E60" s="101">
        <f>SUM(E61:E62)</f>
        <v>100995770</v>
      </c>
      <c r="F60" s="101">
        <f t="shared" ref="F60:AG60" si="11">SUM(F61:F62)</f>
        <v>15686298</v>
      </c>
      <c r="G60" s="101">
        <f t="shared" si="11"/>
        <v>15686298</v>
      </c>
      <c r="H60" s="101">
        <f t="shared" si="11"/>
        <v>41660538</v>
      </c>
      <c r="I60" s="101">
        <f t="shared" si="11"/>
        <v>40160538</v>
      </c>
      <c r="J60" s="101">
        <f t="shared" si="11"/>
        <v>0</v>
      </c>
      <c r="K60" s="101">
        <f t="shared" si="11"/>
        <v>0</v>
      </c>
      <c r="L60" s="101">
        <f t="shared" si="11"/>
        <v>0</v>
      </c>
      <c r="M60" s="101">
        <f t="shared" si="11"/>
        <v>0</v>
      </c>
      <c r="N60" s="101">
        <f t="shared" si="11"/>
        <v>0</v>
      </c>
      <c r="O60" s="101">
        <f t="shared" si="11"/>
        <v>0</v>
      </c>
      <c r="P60" s="101">
        <f t="shared" si="11"/>
        <v>0</v>
      </c>
      <c r="Q60" s="101">
        <f t="shared" si="11"/>
        <v>0</v>
      </c>
      <c r="R60" s="101">
        <f t="shared" si="11"/>
        <v>0</v>
      </c>
      <c r="S60" s="101">
        <f t="shared" si="11"/>
        <v>0</v>
      </c>
      <c r="T60" s="101">
        <f t="shared" si="11"/>
        <v>0</v>
      </c>
      <c r="U60" s="101">
        <f t="shared" si="11"/>
        <v>1879090</v>
      </c>
      <c r="V60" s="101">
        <f t="shared" si="11"/>
        <v>0</v>
      </c>
      <c r="W60" s="101">
        <f t="shared" si="11"/>
        <v>0</v>
      </c>
      <c r="X60" s="101">
        <f t="shared" si="11"/>
        <v>0</v>
      </c>
      <c r="Y60" s="101">
        <f t="shared" si="11"/>
        <v>0</v>
      </c>
      <c r="Z60" s="101">
        <f t="shared" si="11"/>
        <v>0</v>
      </c>
      <c r="AA60" s="101">
        <f t="shared" si="11"/>
        <v>0</v>
      </c>
      <c r="AB60" s="101"/>
      <c r="AC60" s="101"/>
      <c r="AD60" s="99">
        <f>D60+F60+H60+J60+L60+N60+P60+R60+T60+V60+X60+Z60</f>
        <v>158297213</v>
      </c>
      <c r="AE60" s="99">
        <f t="shared" ref="AE60:AE65" si="12">E60+G60+I60+K60+M60+O60+Q60+S60+U60+W60+Y60+AA60+AC60</f>
        <v>158721696</v>
      </c>
      <c r="AF60" s="127">
        <f t="shared" si="11"/>
        <v>0</v>
      </c>
      <c r="AG60" s="127">
        <f t="shared" si="11"/>
        <v>154437913</v>
      </c>
      <c r="AH60" s="127">
        <f t="shared" si="9"/>
        <v>158297213</v>
      </c>
      <c r="AI60" s="8">
        <f t="shared" si="10"/>
        <v>158721696</v>
      </c>
      <c r="AJ60" s="19"/>
      <c r="AK60" s="19"/>
    </row>
    <row r="61" spans="1:38" x14ac:dyDescent="0.25">
      <c r="A61" s="11" t="s">
        <v>208</v>
      </c>
      <c r="B61" s="5" t="s">
        <v>93</v>
      </c>
      <c r="C61" s="23" t="s">
        <v>98</v>
      </c>
      <c r="D61" s="99">
        <f>'9. Óvoda kiad'!D14</f>
        <v>100950377</v>
      </c>
      <c r="E61" s="99">
        <f>'9. Óvoda kiad'!E14</f>
        <v>100995770</v>
      </c>
      <c r="F61" s="99">
        <f>'9. Óvoda kiad'!F14</f>
        <v>15686298</v>
      </c>
      <c r="G61" s="99">
        <f>'9. Óvoda kiad'!G14</f>
        <v>15686298</v>
      </c>
      <c r="H61" s="99">
        <f>'9. Óvoda kiad'!H14</f>
        <v>41660538</v>
      </c>
      <c r="I61" s="99">
        <f>'9. Óvoda kiad'!I14</f>
        <v>40160538</v>
      </c>
      <c r="J61" s="99"/>
      <c r="K61" s="99">
        <f>'9. Óvoda kiad'!K14</f>
        <v>0</v>
      </c>
      <c r="L61" s="99"/>
      <c r="M61" s="99"/>
      <c r="N61" s="99"/>
      <c r="O61" s="99"/>
      <c r="P61" s="99"/>
      <c r="Q61" s="99"/>
      <c r="R61" s="99"/>
      <c r="S61" s="99"/>
      <c r="T61" s="99">
        <f>'9. Óvoda kiad'!N14</f>
        <v>0</v>
      </c>
      <c r="U61" s="99">
        <f>'9. Óvoda kiad'!O14</f>
        <v>1879090</v>
      </c>
      <c r="V61" s="99"/>
      <c r="W61" s="99"/>
      <c r="X61" s="99"/>
      <c r="Y61" s="99"/>
      <c r="Z61" s="99"/>
      <c r="AA61" s="99"/>
      <c r="AB61" s="99"/>
      <c r="AC61" s="99"/>
      <c r="AD61" s="99">
        <f t="shared" ref="AD61:AD65" si="13">D61+F61+H61+J61+L61+N61+P61+R61+T61+V61+X61+Z61</f>
        <v>158297213</v>
      </c>
      <c r="AE61" s="99">
        <f t="shared" si="12"/>
        <v>158721696</v>
      </c>
      <c r="AF61" s="128"/>
      <c r="AG61" s="128">
        <f>'5. Óvoda bev'!Q13</f>
        <v>154437913</v>
      </c>
      <c r="AH61" s="127">
        <f t="shared" si="9"/>
        <v>158297213</v>
      </c>
      <c r="AI61" s="8">
        <f t="shared" si="10"/>
        <v>158721696</v>
      </c>
      <c r="AJ61" s="24"/>
      <c r="AK61" s="24"/>
    </row>
    <row r="62" spans="1:38" x14ac:dyDescent="0.25">
      <c r="A62" s="11" t="s">
        <v>209</v>
      </c>
      <c r="B62" s="5" t="s">
        <v>94</v>
      </c>
      <c r="C62" s="23" t="s">
        <v>99</v>
      </c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>
        <f t="shared" si="13"/>
        <v>0</v>
      </c>
      <c r="AE62" s="99">
        <f t="shared" si="12"/>
        <v>0</v>
      </c>
      <c r="AF62" s="128"/>
      <c r="AG62" s="128"/>
      <c r="AH62" s="127">
        <f t="shared" si="9"/>
        <v>0</v>
      </c>
      <c r="AI62" s="8">
        <f t="shared" si="10"/>
        <v>0</v>
      </c>
      <c r="AJ62" s="24"/>
      <c r="AK62" s="24"/>
    </row>
    <row r="63" spans="1:38" s="22" customFormat="1" x14ac:dyDescent="0.25">
      <c r="A63" s="11" t="s">
        <v>210</v>
      </c>
      <c r="B63" s="20"/>
      <c r="C63" s="21" t="s">
        <v>313</v>
      </c>
      <c r="D63" s="101">
        <f>SUM(D64:D65)</f>
        <v>107335000</v>
      </c>
      <c r="E63" s="101">
        <f>SUM(E64:E65)</f>
        <v>117160404</v>
      </c>
      <c r="F63" s="101">
        <f t="shared" ref="F63:AG63" si="14">SUM(F64:F65)</f>
        <v>17162000</v>
      </c>
      <c r="G63" s="101">
        <f t="shared" si="14"/>
        <v>18528450</v>
      </c>
      <c r="H63" s="101">
        <f t="shared" si="14"/>
        <v>88411000</v>
      </c>
      <c r="I63" s="101">
        <f t="shared" si="14"/>
        <v>86584900</v>
      </c>
      <c r="J63" s="101">
        <f t="shared" si="14"/>
        <v>0</v>
      </c>
      <c r="K63" s="101">
        <f t="shared" si="14"/>
        <v>0</v>
      </c>
      <c r="L63" s="101">
        <f t="shared" si="14"/>
        <v>0</v>
      </c>
      <c r="M63" s="101">
        <f t="shared" si="14"/>
        <v>0</v>
      </c>
      <c r="N63" s="101">
        <f t="shared" si="14"/>
        <v>0</v>
      </c>
      <c r="O63" s="101">
        <f t="shared" si="14"/>
        <v>0</v>
      </c>
      <c r="P63" s="101">
        <f t="shared" si="14"/>
        <v>0</v>
      </c>
      <c r="Q63" s="101">
        <f t="shared" si="14"/>
        <v>0</v>
      </c>
      <c r="R63" s="101">
        <v>0</v>
      </c>
      <c r="S63" s="101">
        <v>0</v>
      </c>
      <c r="T63" s="101">
        <f t="shared" si="14"/>
        <v>0</v>
      </c>
      <c r="U63" s="101">
        <f t="shared" si="14"/>
        <v>2251412</v>
      </c>
      <c r="V63" s="101">
        <f t="shared" si="14"/>
        <v>0</v>
      </c>
      <c r="W63" s="101"/>
      <c r="X63" s="101">
        <f t="shared" si="14"/>
        <v>0</v>
      </c>
      <c r="Y63" s="101"/>
      <c r="Z63" s="101">
        <f t="shared" si="14"/>
        <v>0</v>
      </c>
      <c r="AA63" s="101"/>
      <c r="AB63" s="101"/>
      <c r="AC63" s="101"/>
      <c r="AD63" s="99">
        <f t="shared" si="13"/>
        <v>212908000</v>
      </c>
      <c r="AE63" s="99">
        <f>E63+G63+I63+K63+M63+O63+Q63+S63+U63+W63+Y63+AA63+AC63</f>
        <v>224525166</v>
      </c>
      <c r="AF63" s="127">
        <f t="shared" si="14"/>
        <v>0</v>
      </c>
      <c r="AG63" s="127">
        <f t="shared" ca="1" si="14"/>
        <v>148226193</v>
      </c>
      <c r="AH63" s="127">
        <f t="shared" si="9"/>
        <v>212908000</v>
      </c>
      <c r="AI63" s="8">
        <f t="shared" si="10"/>
        <v>224525166</v>
      </c>
      <c r="AJ63" s="19"/>
      <c r="AK63" s="19"/>
    </row>
    <row r="64" spans="1:38" x14ac:dyDescent="0.25">
      <c r="A64" s="11" t="s">
        <v>211</v>
      </c>
      <c r="B64" s="5" t="s">
        <v>93</v>
      </c>
      <c r="C64" s="23" t="s">
        <v>98</v>
      </c>
      <c r="D64" s="99">
        <f>'8.ESZI kiad'!D15</f>
        <v>15821000</v>
      </c>
      <c r="E64" s="99">
        <f>'8.ESZI kiad'!E15</f>
        <v>16786341</v>
      </c>
      <c r="F64" s="99">
        <f>'8.ESZI kiad'!F15</f>
        <v>2388000</v>
      </c>
      <c r="G64" s="99">
        <f>'8.ESZI kiad'!G15</f>
        <v>2537628</v>
      </c>
      <c r="H64" s="99">
        <f>'8.ESZI kiad'!H15</f>
        <v>5695000</v>
      </c>
      <c r="I64" s="99">
        <f>'8.ESZI kiad'!I15</f>
        <v>5695000</v>
      </c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>
        <f>'8.ESZI kiad'!N15</f>
        <v>0</v>
      </c>
      <c r="U64" s="99">
        <f>'8.ESZI kiad'!O15</f>
        <v>0</v>
      </c>
      <c r="V64" s="99"/>
      <c r="W64" s="99"/>
      <c r="X64" s="99"/>
      <c r="Y64" s="99"/>
      <c r="Z64" s="99"/>
      <c r="AA64" s="99"/>
      <c r="AB64" s="99"/>
      <c r="AC64" s="99"/>
      <c r="AD64" s="99">
        <f t="shared" si="13"/>
        <v>23904000</v>
      </c>
      <c r="AE64" s="99">
        <f t="shared" si="12"/>
        <v>25018969</v>
      </c>
      <c r="AF64" s="128"/>
      <c r="AG64" s="128">
        <f ca="1">'4 ESZI bev'!Q16</f>
        <v>19249134</v>
      </c>
      <c r="AH64" s="127">
        <f t="shared" si="9"/>
        <v>23904000</v>
      </c>
      <c r="AI64" s="8">
        <f t="shared" si="10"/>
        <v>25018969</v>
      </c>
      <c r="AJ64" s="24"/>
      <c r="AK64" s="24"/>
    </row>
    <row r="65" spans="1:38" x14ac:dyDescent="0.25">
      <c r="A65" s="11" t="s">
        <v>277</v>
      </c>
      <c r="B65" s="5" t="s">
        <v>94</v>
      </c>
      <c r="C65" s="23" t="s">
        <v>99</v>
      </c>
      <c r="D65" s="99">
        <f>'8.ESZI kiad'!D16</f>
        <v>91514000</v>
      </c>
      <c r="E65" s="99">
        <f>'8.ESZI kiad'!E16</f>
        <v>100374063</v>
      </c>
      <c r="F65" s="99">
        <f>'8.ESZI kiad'!F16</f>
        <v>14774000</v>
      </c>
      <c r="G65" s="99">
        <f>'8.ESZI kiad'!G16</f>
        <v>15990822</v>
      </c>
      <c r="H65" s="99">
        <f>'8.ESZI kiad'!H16</f>
        <v>82716000</v>
      </c>
      <c r="I65" s="99">
        <f>'8.ESZI kiad'!I16</f>
        <v>80889900</v>
      </c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>
        <f>'8.ESZI kiad'!N16</f>
        <v>0</v>
      </c>
      <c r="U65" s="99">
        <f>'8.ESZI kiad'!O16</f>
        <v>2251412</v>
      </c>
      <c r="V65" s="99"/>
      <c r="W65" s="99"/>
      <c r="X65" s="99"/>
      <c r="Y65" s="99"/>
      <c r="Z65" s="99"/>
      <c r="AA65" s="99"/>
      <c r="AB65" s="99"/>
      <c r="AC65" s="99"/>
      <c r="AD65" s="99">
        <f t="shared" si="13"/>
        <v>189004000</v>
      </c>
      <c r="AE65" s="99">
        <f t="shared" si="12"/>
        <v>199506197</v>
      </c>
      <c r="AF65" s="128"/>
      <c r="AG65" s="128">
        <f>'4 ESZI bev'!Q17</f>
        <v>128977059</v>
      </c>
      <c r="AH65" s="127">
        <f t="shared" si="9"/>
        <v>189004000</v>
      </c>
      <c r="AI65" s="8">
        <f t="shared" si="10"/>
        <v>199506197</v>
      </c>
      <c r="AJ65" s="24"/>
      <c r="AK65" s="24"/>
    </row>
    <row r="66" spans="1:38" s="22" customFormat="1" ht="15.75" x14ac:dyDescent="0.25">
      <c r="A66" s="11" t="s">
        <v>278</v>
      </c>
      <c r="B66" s="20"/>
      <c r="C66" s="14" t="s">
        <v>100</v>
      </c>
      <c r="D66" s="101">
        <f>D44+D57+D60+D63</f>
        <v>369281089</v>
      </c>
      <c r="E66" s="101">
        <f t="shared" ref="E66:AK66" si="15">E44+E57+E60+E63</f>
        <v>427294506</v>
      </c>
      <c r="F66" s="101">
        <f t="shared" si="15"/>
        <v>60719494</v>
      </c>
      <c r="G66" s="101">
        <f t="shared" si="15"/>
        <v>66361207</v>
      </c>
      <c r="H66" s="101">
        <f t="shared" si="15"/>
        <v>263041954</v>
      </c>
      <c r="I66" s="101">
        <f t="shared" si="15"/>
        <v>260107554</v>
      </c>
      <c r="J66" s="101">
        <f t="shared" si="15"/>
        <v>29774000</v>
      </c>
      <c r="K66" s="101">
        <f t="shared" si="15"/>
        <v>29774000</v>
      </c>
      <c r="L66" s="101">
        <f t="shared" si="15"/>
        <v>16028000</v>
      </c>
      <c r="M66" s="101">
        <f t="shared" si="15"/>
        <v>21713000</v>
      </c>
      <c r="N66" s="101">
        <f t="shared" si="15"/>
        <v>10844000</v>
      </c>
      <c r="O66" s="101">
        <f t="shared" si="15"/>
        <v>10844000</v>
      </c>
      <c r="P66" s="101">
        <f t="shared" si="15"/>
        <v>0</v>
      </c>
      <c r="Q66" s="101">
        <f t="shared" si="15"/>
        <v>0</v>
      </c>
      <c r="R66" s="101">
        <f t="shared" si="15"/>
        <v>0</v>
      </c>
      <c r="S66" s="101">
        <f t="shared" si="15"/>
        <v>0</v>
      </c>
      <c r="T66" s="101">
        <f t="shared" si="15"/>
        <v>121817481</v>
      </c>
      <c r="U66" s="101">
        <f t="shared" si="15"/>
        <v>120690998</v>
      </c>
      <c r="V66" s="101">
        <f t="shared" si="15"/>
        <v>2286000</v>
      </c>
      <c r="W66" s="101">
        <f t="shared" si="15"/>
        <v>8501000</v>
      </c>
      <c r="X66" s="101">
        <f t="shared" si="15"/>
        <v>119484158</v>
      </c>
      <c r="Y66" s="101">
        <f t="shared" si="15"/>
        <v>83629087</v>
      </c>
      <c r="Z66" s="101">
        <f t="shared" si="15"/>
        <v>22221723</v>
      </c>
      <c r="AA66" s="101">
        <f t="shared" si="15"/>
        <v>22221723</v>
      </c>
      <c r="AB66" s="101">
        <f t="shared" si="15"/>
        <v>5000000</v>
      </c>
      <c r="AC66" s="101">
        <f t="shared" si="15"/>
        <v>5000000</v>
      </c>
      <c r="AD66" s="101">
        <f t="shared" si="15"/>
        <v>1020497899</v>
      </c>
      <c r="AE66" s="101">
        <f>AE44+AE57+AE60+AE63</f>
        <v>1056137075</v>
      </c>
      <c r="AF66" s="101">
        <f t="shared" si="15"/>
        <v>419434359</v>
      </c>
      <c r="AG66" s="101">
        <f ca="1">AG57+AG60+AG63</f>
        <v>428495940</v>
      </c>
      <c r="AH66" s="101">
        <f t="shared" si="15"/>
        <v>1439932258</v>
      </c>
      <c r="AI66" s="101">
        <f t="shared" si="15"/>
        <v>1484633015</v>
      </c>
      <c r="AJ66" s="101">
        <f t="shared" si="15"/>
        <v>0</v>
      </c>
      <c r="AK66" s="101">
        <f t="shared" si="15"/>
        <v>19324</v>
      </c>
      <c r="AL66" s="37"/>
    </row>
    <row r="67" spans="1:38" s="22" customFormat="1" ht="15.75" x14ac:dyDescent="0.25">
      <c r="A67" s="11" t="s">
        <v>279</v>
      </c>
      <c r="B67" s="20"/>
      <c r="C67" s="14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8"/>
      <c r="AG67" s="8"/>
      <c r="AH67" s="8"/>
      <c r="AI67" s="40"/>
      <c r="AJ67" s="19"/>
      <c r="AK67" s="19"/>
      <c r="AL67" s="37"/>
    </row>
    <row r="68" spans="1:38" x14ac:dyDescent="0.25">
      <c r="A68" s="11" t="s">
        <v>280</v>
      </c>
      <c r="B68" s="18"/>
      <c r="C68" s="18" t="s">
        <v>101</v>
      </c>
      <c r="D68" s="74">
        <f>D55+D58+D61+D64</f>
        <v>171130397</v>
      </c>
      <c r="E68" s="74">
        <f t="shared" ref="E68:AI68" si="16">E55+E58+E61+E64</f>
        <v>222208251</v>
      </c>
      <c r="F68" s="74">
        <f t="shared" si="16"/>
        <v>25235200</v>
      </c>
      <c r="G68" s="74">
        <f t="shared" si="16"/>
        <v>29660091</v>
      </c>
      <c r="H68" s="74">
        <f t="shared" si="16"/>
        <v>152698429</v>
      </c>
      <c r="I68" s="74">
        <f t="shared" si="16"/>
        <v>150068429</v>
      </c>
      <c r="J68" s="74">
        <f t="shared" si="16"/>
        <v>29774000</v>
      </c>
      <c r="K68" s="74">
        <f t="shared" si="16"/>
        <v>29774000</v>
      </c>
      <c r="L68" s="74">
        <f t="shared" si="16"/>
        <v>15428000</v>
      </c>
      <c r="M68" s="74">
        <f t="shared" si="16"/>
        <v>21113000</v>
      </c>
      <c r="N68" s="74">
        <f t="shared" si="16"/>
        <v>196000</v>
      </c>
      <c r="O68" s="74">
        <f t="shared" si="16"/>
        <v>196000</v>
      </c>
      <c r="P68" s="74">
        <f t="shared" si="16"/>
        <v>0</v>
      </c>
      <c r="Q68" s="74">
        <f t="shared" si="16"/>
        <v>0</v>
      </c>
      <c r="R68" s="74">
        <f t="shared" si="16"/>
        <v>0</v>
      </c>
      <c r="S68" s="74">
        <f t="shared" si="16"/>
        <v>0</v>
      </c>
      <c r="T68" s="74">
        <f t="shared" si="16"/>
        <v>111098481</v>
      </c>
      <c r="U68" s="74">
        <f t="shared" si="16"/>
        <v>112977571</v>
      </c>
      <c r="V68" s="74">
        <f t="shared" si="16"/>
        <v>2286000</v>
      </c>
      <c r="W68" s="74">
        <f t="shared" si="16"/>
        <v>8001000</v>
      </c>
      <c r="X68" s="74">
        <f t="shared" si="16"/>
        <v>119484158</v>
      </c>
      <c r="Y68" s="74">
        <f t="shared" si="16"/>
        <v>83629087</v>
      </c>
      <c r="Z68" s="74">
        <f t="shared" si="16"/>
        <v>22221723</v>
      </c>
      <c r="AA68" s="74">
        <f t="shared" si="16"/>
        <v>22221723</v>
      </c>
      <c r="AB68" s="74">
        <f t="shared" si="16"/>
        <v>5000000</v>
      </c>
      <c r="AC68" s="74">
        <f t="shared" si="16"/>
        <v>5000000</v>
      </c>
      <c r="AD68" s="74">
        <f>AD55+AD58+AD61+AD64</f>
        <v>654552388</v>
      </c>
      <c r="AE68" s="74">
        <f t="shared" si="16"/>
        <v>684849152</v>
      </c>
      <c r="AF68" s="74">
        <f t="shared" si="16"/>
        <v>419434359</v>
      </c>
      <c r="AG68" s="74">
        <f t="shared" ca="1" si="16"/>
        <v>728014821</v>
      </c>
      <c r="AH68" s="74">
        <f t="shared" si="16"/>
        <v>1073986747</v>
      </c>
      <c r="AI68" s="74">
        <f t="shared" si="16"/>
        <v>1113345092</v>
      </c>
      <c r="AJ68" s="74">
        <f t="shared" ref="AJ68:AK68" si="17">AJ55+AJ58+AJ61+AJ64</f>
        <v>0</v>
      </c>
      <c r="AK68" s="74">
        <f t="shared" si="17"/>
        <v>19258</v>
      </c>
      <c r="AL68" s="25"/>
    </row>
    <row r="69" spans="1:38" x14ac:dyDescent="0.25">
      <c r="A69" s="11" t="s">
        <v>281</v>
      </c>
      <c r="B69" s="18"/>
      <c r="C69" s="18" t="s">
        <v>133</v>
      </c>
      <c r="D69" s="74">
        <f t="shared" ref="D69:AA69" si="18">D59</f>
        <v>106325004</v>
      </c>
      <c r="E69" s="74">
        <f t="shared" si="18"/>
        <v>104400504</v>
      </c>
      <c r="F69" s="74">
        <f t="shared" si="18"/>
        <v>15767994</v>
      </c>
      <c r="G69" s="74">
        <f t="shared" si="18"/>
        <v>15767994</v>
      </c>
      <c r="H69" s="74">
        <f t="shared" si="18"/>
        <v>5059272</v>
      </c>
      <c r="I69" s="74">
        <f t="shared" si="18"/>
        <v>6580972</v>
      </c>
      <c r="J69" s="74">
        <f t="shared" si="18"/>
        <v>0</v>
      </c>
      <c r="K69" s="74">
        <f t="shared" si="18"/>
        <v>0</v>
      </c>
      <c r="L69" s="74">
        <f t="shared" si="18"/>
        <v>0</v>
      </c>
      <c r="M69" s="74">
        <f t="shared" si="18"/>
        <v>0</v>
      </c>
      <c r="N69" s="74">
        <f t="shared" si="18"/>
        <v>0</v>
      </c>
      <c r="O69" s="74">
        <f t="shared" si="18"/>
        <v>0</v>
      </c>
      <c r="P69" s="74">
        <f t="shared" si="18"/>
        <v>0</v>
      </c>
      <c r="Q69" s="74">
        <f t="shared" si="18"/>
        <v>0</v>
      </c>
      <c r="R69" s="74">
        <f t="shared" si="18"/>
        <v>0</v>
      </c>
      <c r="S69" s="74">
        <f t="shared" si="18"/>
        <v>0</v>
      </c>
      <c r="T69" s="74">
        <f t="shared" si="18"/>
        <v>0</v>
      </c>
      <c r="U69" s="74">
        <f t="shared" si="18"/>
        <v>458015</v>
      </c>
      <c r="V69" s="74">
        <f t="shared" si="18"/>
        <v>0</v>
      </c>
      <c r="W69" s="74">
        <f t="shared" si="18"/>
        <v>0</v>
      </c>
      <c r="X69" s="74">
        <f t="shared" si="18"/>
        <v>0</v>
      </c>
      <c r="Y69" s="74">
        <f t="shared" si="18"/>
        <v>0</v>
      </c>
      <c r="Z69" s="74">
        <f t="shared" si="18"/>
        <v>0</v>
      </c>
      <c r="AA69" s="74">
        <f t="shared" si="18"/>
        <v>0</v>
      </c>
      <c r="AB69" s="74"/>
      <c r="AC69" s="74"/>
      <c r="AD69" s="74">
        <f>AD59</f>
        <v>127152270</v>
      </c>
      <c r="AE69" s="74">
        <f>AE59</f>
        <v>127207485</v>
      </c>
      <c r="AF69" s="74">
        <f>AF59</f>
        <v>0</v>
      </c>
      <c r="AG69" s="74">
        <f>AG59</f>
        <v>0</v>
      </c>
      <c r="AH69" s="74"/>
      <c r="AI69" s="41"/>
      <c r="AJ69" s="25"/>
      <c r="AK69" s="25"/>
      <c r="AL69" s="25"/>
    </row>
    <row r="70" spans="1:38" x14ac:dyDescent="0.25">
      <c r="A70" s="11" t="s">
        <v>282</v>
      </c>
      <c r="B70" s="18"/>
      <c r="C70" s="18" t="s">
        <v>102</v>
      </c>
      <c r="D70" s="74">
        <f>D56+D62+D65</f>
        <v>91825688</v>
      </c>
      <c r="E70" s="74">
        <f t="shared" ref="E70:AK70" si="19">E56+E62+E65</f>
        <v>100685751</v>
      </c>
      <c r="F70" s="74">
        <f t="shared" si="19"/>
        <v>19716300</v>
      </c>
      <c r="G70" s="74">
        <f t="shared" si="19"/>
        <v>20933122</v>
      </c>
      <c r="H70" s="74">
        <f t="shared" si="19"/>
        <v>105284253</v>
      </c>
      <c r="I70" s="74">
        <f t="shared" si="19"/>
        <v>103458153</v>
      </c>
      <c r="J70" s="74">
        <f t="shared" si="19"/>
        <v>0</v>
      </c>
      <c r="K70" s="74">
        <f t="shared" si="19"/>
        <v>0</v>
      </c>
      <c r="L70" s="74">
        <f t="shared" si="19"/>
        <v>600000</v>
      </c>
      <c r="M70" s="74">
        <f t="shared" si="19"/>
        <v>600000</v>
      </c>
      <c r="N70" s="74">
        <f t="shared" si="19"/>
        <v>10648000</v>
      </c>
      <c r="O70" s="74">
        <f t="shared" si="19"/>
        <v>10648000</v>
      </c>
      <c r="P70" s="74">
        <f t="shared" si="19"/>
        <v>0</v>
      </c>
      <c r="Q70" s="74">
        <f t="shared" si="19"/>
        <v>0</v>
      </c>
      <c r="R70" s="74">
        <f t="shared" si="19"/>
        <v>0</v>
      </c>
      <c r="S70" s="74">
        <f t="shared" si="19"/>
        <v>0</v>
      </c>
      <c r="T70" s="74">
        <f t="shared" si="19"/>
        <v>10719000</v>
      </c>
      <c r="U70" s="74">
        <f t="shared" si="19"/>
        <v>7255412</v>
      </c>
      <c r="V70" s="74">
        <f t="shared" si="19"/>
        <v>0</v>
      </c>
      <c r="W70" s="74">
        <f t="shared" si="19"/>
        <v>500000</v>
      </c>
      <c r="X70" s="74">
        <f t="shared" si="19"/>
        <v>0</v>
      </c>
      <c r="Y70" s="74">
        <f t="shared" si="19"/>
        <v>0</v>
      </c>
      <c r="Z70" s="74">
        <f t="shared" si="19"/>
        <v>0</v>
      </c>
      <c r="AA70" s="74">
        <f t="shared" si="19"/>
        <v>0</v>
      </c>
      <c r="AB70" s="74">
        <f t="shared" si="19"/>
        <v>0</v>
      </c>
      <c r="AC70" s="74">
        <f t="shared" si="19"/>
        <v>0</v>
      </c>
      <c r="AD70" s="74">
        <f t="shared" si="19"/>
        <v>238793241</v>
      </c>
      <c r="AE70" s="74">
        <f t="shared" si="19"/>
        <v>244080438</v>
      </c>
      <c r="AF70" s="74">
        <f t="shared" si="19"/>
        <v>0</v>
      </c>
      <c r="AG70" s="74">
        <f t="shared" si="19"/>
        <v>128977059</v>
      </c>
      <c r="AH70" s="74">
        <f t="shared" si="19"/>
        <v>238793241</v>
      </c>
      <c r="AI70" s="74">
        <f t="shared" si="19"/>
        <v>244080438</v>
      </c>
      <c r="AJ70" s="74">
        <f t="shared" si="19"/>
        <v>0</v>
      </c>
      <c r="AK70" s="74">
        <f t="shared" si="19"/>
        <v>66</v>
      </c>
      <c r="AL70" s="25"/>
    </row>
    <row r="71" spans="1:38" s="22" customFormat="1" x14ac:dyDescent="0.25">
      <c r="A71" s="11" t="s">
        <v>283</v>
      </c>
      <c r="B71" s="26"/>
      <c r="C71" s="26" t="s">
        <v>103</v>
      </c>
      <c r="D71" s="43">
        <f>SUM(D68:D70)</f>
        <v>369281089</v>
      </c>
      <c r="E71" s="43">
        <f>SUM(E68:E70)</f>
        <v>427294506</v>
      </c>
      <c r="F71" s="43">
        <f t="shared" ref="F71:AF71" si="20">SUM(F68:F70)</f>
        <v>60719494</v>
      </c>
      <c r="G71" s="43">
        <f t="shared" ref="G71" si="21">SUM(G68:G70)</f>
        <v>66361207</v>
      </c>
      <c r="H71" s="43">
        <f t="shared" si="20"/>
        <v>263041954</v>
      </c>
      <c r="I71" s="43">
        <f t="shared" ref="I71" si="22">SUM(I68:I70)</f>
        <v>260107554</v>
      </c>
      <c r="J71" s="43">
        <f t="shared" si="20"/>
        <v>29774000</v>
      </c>
      <c r="K71" s="43">
        <f t="shared" ref="K71" si="23">SUM(K68:K70)</f>
        <v>29774000</v>
      </c>
      <c r="L71" s="43">
        <f t="shared" si="20"/>
        <v>16028000</v>
      </c>
      <c r="M71" s="43">
        <f t="shared" ref="M71" si="24">SUM(M68:M70)</f>
        <v>21713000</v>
      </c>
      <c r="N71" s="43">
        <f t="shared" si="20"/>
        <v>10844000</v>
      </c>
      <c r="O71" s="43">
        <f t="shared" ref="O71" si="25">SUM(O68:O70)</f>
        <v>10844000</v>
      </c>
      <c r="P71" s="43">
        <f t="shared" si="20"/>
        <v>0</v>
      </c>
      <c r="Q71" s="43">
        <f t="shared" ref="Q71" si="26">SUM(Q68:Q70)</f>
        <v>0</v>
      </c>
      <c r="R71" s="43">
        <f t="shared" si="20"/>
        <v>0</v>
      </c>
      <c r="S71" s="43">
        <f t="shared" ref="S71" si="27">SUM(S68:S70)</f>
        <v>0</v>
      </c>
      <c r="T71" s="43">
        <f t="shared" si="20"/>
        <v>121817481</v>
      </c>
      <c r="U71" s="43">
        <f t="shared" ref="U71" si="28">SUM(U68:U70)</f>
        <v>120690998</v>
      </c>
      <c r="V71" s="43">
        <f t="shared" si="20"/>
        <v>2286000</v>
      </c>
      <c r="W71" s="43">
        <f t="shared" ref="W71" si="29">SUM(W68:W70)</f>
        <v>8501000</v>
      </c>
      <c r="X71" s="43">
        <f t="shared" si="20"/>
        <v>119484158</v>
      </c>
      <c r="Y71" s="43">
        <f t="shared" ref="Y71" si="30">SUM(Y68:Y70)</f>
        <v>83629087</v>
      </c>
      <c r="Z71" s="43">
        <f t="shared" si="20"/>
        <v>22221723</v>
      </c>
      <c r="AA71" s="43">
        <f>SUM(AA68:AA70)</f>
        <v>22221723</v>
      </c>
      <c r="AB71" s="43">
        <f t="shared" ref="AB71:AD71" si="31">SUM(AB68:AB70)</f>
        <v>5000000</v>
      </c>
      <c r="AC71" s="43">
        <f t="shared" si="31"/>
        <v>5000000</v>
      </c>
      <c r="AD71" s="43">
        <f t="shared" si="31"/>
        <v>1020497899</v>
      </c>
      <c r="AE71" s="43">
        <f>SUM(AE68:AE70)</f>
        <v>1056137075</v>
      </c>
      <c r="AF71" s="43">
        <f t="shared" si="20"/>
        <v>419434359</v>
      </c>
      <c r="AG71" s="43">
        <f t="shared" ref="AG71" ca="1" si="32">SUM(AG68:AG70)</f>
        <v>856991880</v>
      </c>
      <c r="AH71" s="43"/>
      <c r="AI71" s="41"/>
      <c r="AJ71" s="25"/>
      <c r="AK71" s="25"/>
      <c r="AL71" s="37"/>
    </row>
    <row r="72" spans="1:38" x14ac:dyDescent="0.25">
      <c r="AD72" s="146"/>
      <c r="AF72" s="27"/>
      <c r="AG72" s="27"/>
      <c r="AH72" s="27"/>
      <c r="AI72" s="27"/>
      <c r="AJ72" s="27"/>
      <c r="AK72" s="27"/>
    </row>
    <row r="73" spans="1:38" x14ac:dyDescent="0.25">
      <c r="H73" s="164"/>
      <c r="T73" s="27">
        <f>T66-T71</f>
        <v>0</v>
      </c>
      <c r="AA73" s="27"/>
      <c r="AB73" s="27"/>
      <c r="AC73" s="27"/>
      <c r="AE73" s="27"/>
      <c r="AI73" s="27"/>
      <c r="AJ73" s="27"/>
      <c r="AK73" s="9">
        <v>13142</v>
      </c>
    </row>
    <row r="74" spans="1:38" x14ac:dyDescent="0.25">
      <c r="AD74" s="27"/>
      <c r="AE74" s="27"/>
      <c r="AG74" s="27"/>
      <c r="AH74" s="27"/>
      <c r="AI74" s="27"/>
      <c r="AJ74" s="27"/>
      <c r="AK74" s="27"/>
    </row>
    <row r="75" spans="1:38" x14ac:dyDescent="0.25">
      <c r="Z75" s="61"/>
      <c r="AA75" s="61"/>
      <c r="AB75" s="61"/>
      <c r="AC75" s="61"/>
      <c r="AD75" s="61"/>
      <c r="AG75" s="27"/>
      <c r="AH75" s="27"/>
    </row>
    <row r="76" spans="1:38" x14ac:dyDescent="0.25">
      <c r="Z76" s="61"/>
      <c r="AA76" s="61"/>
      <c r="AB76" s="61"/>
      <c r="AC76" s="61"/>
      <c r="AD76" s="61"/>
      <c r="AG76" s="27"/>
    </row>
    <row r="77" spans="1:38" x14ac:dyDescent="0.25">
      <c r="T77" s="22"/>
      <c r="U77" s="22"/>
      <c r="Z77" s="61"/>
      <c r="AA77" s="61"/>
      <c r="AB77" s="61"/>
      <c r="AC77" s="61"/>
      <c r="AD77" s="62"/>
    </row>
  </sheetData>
  <mergeCells count="33">
    <mergeCell ref="X1:AH1"/>
    <mergeCell ref="C3:AI3"/>
    <mergeCell ref="X2:AF2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4:Y4"/>
    <mergeCell ref="Z5:AA5"/>
    <mergeCell ref="AD4:AE4"/>
    <mergeCell ref="AF5:AG5"/>
    <mergeCell ref="AF4:AG4"/>
    <mergeCell ref="AB5:AC5"/>
    <mergeCell ref="X5:Y5"/>
    <mergeCell ref="AB4:AC4"/>
    <mergeCell ref="AD5:AE5"/>
    <mergeCell ref="Z4:AA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38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10" fitToHeight="2" orientation="landscape" r:id="rId1"/>
  <ignoredErrors>
    <ignoredError sqref="I16 F27 AH44 AG66" formula="1"/>
    <ignoredError sqref="R60:S6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AB28"/>
  <sheetViews>
    <sheetView zoomScaleNormal="100" zoomScaleSheetLayoutView="100" workbookViewId="0">
      <selection activeCell="C1" sqref="C1"/>
    </sheetView>
  </sheetViews>
  <sheetFormatPr defaultColWidth="9.28515625" defaultRowHeight="15" x14ac:dyDescent="0.25"/>
  <cols>
    <col min="1" max="1" width="5.28515625" style="52" customWidth="1"/>
    <col min="2" max="2" width="11.28515625" style="70" bestFit="1" customWidth="1"/>
    <col min="3" max="3" width="35.85546875" style="52" customWidth="1"/>
    <col min="4" max="4" width="12.28515625" style="52" customWidth="1"/>
    <col min="5" max="5" width="12.42578125" style="52" bestFit="1" customWidth="1"/>
    <col min="6" max="7" width="11.28515625" style="52" bestFit="1" customWidth="1"/>
    <col min="8" max="8" width="10.5703125" style="52" bestFit="1" customWidth="1"/>
    <col min="9" max="9" width="10.140625" style="52" bestFit="1" customWidth="1"/>
    <col min="10" max="10" width="8.7109375" style="52" customWidth="1"/>
    <col min="11" max="11" width="7.85546875" style="52" bestFit="1" customWidth="1"/>
    <col min="12" max="12" width="8.28515625" style="52" customWidth="1"/>
    <col min="13" max="13" width="7.85546875" style="52" bestFit="1" customWidth="1"/>
    <col min="14" max="14" width="8.42578125" style="52" customWidth="1"/>
    <col min="15" max="15" width="8.42578125" style="52" bestFit="1" customWidth="1"/>
    <col min="16" max="16" width="8.42578125" style="52" customWidth="1"/>
    <col min="17" max="17" width="8.140625" style="52" bestFit="1" customWidth="1"/>
    <col min="18" max="18" width="9.28515625" style="52" customWidth="1"/>
    <col min="19" max="19" width="8" style="52" bestFit="1" customWidth="1"/>
    <col min="20" max="20" width="8.28515625" style="52" customWidth="1"/>
    <col min="21" max="21" width="8.140625" style="52" bestFit="1" customWidth="1"/>
    <col min="22" max="22" width="12.42578125" style="52" bestFit="1" customWidth="1"/>
    <col min="23" max="23" width="10.28515625" style="52" hidden="1" customWidth="1"/>
    <col min="24" max="24" width="10.7109375" style="52" hidden="1" customWidth="1"/>
    <col min="25" max="25" width="12.42578125" style="52" bestFit="1" customWidth="1"/>
    <col min="26" max="16384" width="9.28515625" style="52"/>
  </cols>
  <sheetData>
    <row r="1" spans="1:28" ht="23.25" customHeight="1" x14ac:dyDescent="0.25">
      <c r="C1" s="697" t="s">
        <v>588</v>
      </c>
      <c r="M1" s="697"/>
      <c r="N1" s="697"/>
      <c r="O1" s="697"/>
      <c r="P1" s="697"/>
      <c r="Q1" s="697"/>
      <c r="R1" s="697"/>
      <c r="S1" s="697"/>
      <c r="T1" s="697"/>
      <c r="U1" s="697"/>
      <c r="V1" s="697"/>
      <c r="W1" s="697"/>
      <c r="X1" s="697"/>
      <c r="Y1" s="697"/>
    </row>
    <row r="2" spans="1:28" x14ac:dyDescent="0.25">
      <c r="C2" s="788" t="s">
        <v>575</v>
      </c>
      <c r="D2" s="788"/>
      <c r="E2" s="788"/>
      <c r="F2" s="788"/>
      <c r="G2" s="788"/>
      <c r="H2" s="788"/>
      <c r="I2" s="788"/>
      <c r="J2" s="788"/>
      <c r="K2" s="788"/>
      <c r="O2" s="719"/>
      <c r="P2" s="719"/>
      <c r="Q2" s="719"/>
      <c r="R2" s="719"/>
      <c r="S2" s="719"/>
      <c r="T2" s="719"/>
      <c r="U2" s="719"/>
      <c r="V2" s="719"/>
    </row>
    <row r="3" spans="1:28" ht="48" customHeight="1" x14ac:dyDescent="0.25">
      <c r="A3" s="715"/>
      <c r="B3" s="716"/>
      <c r="C3" s="789" t="s">
        <v>258</v>
      </c>
      <c r="D3" s="790"/>
      <c r="E3" s="790"/>
      <c r="F3" s="790"/>
      <c r="G3" s="790"/>
      <c r="H3" s="790"/>
      <c r="I3" s="790"/>
      <c r="J3" s="790"/>
      <c r="K3" s="790"/>
      <c r="L3" s="790"/>
      <c r="M3" s="790"/>
      <c r="N3" s="790"/>
      <c r="O3" s="790"/>
      <c r="P3" s="790"/>
      <c r="Q3" s="790"/>
      <c r="R3" s="790"/>
      <c r="S3" s="790"/>
      <c r="T3" s="790"/>
      <c r="U3" s="790"/>
      <c r="V3" s="790"/>
      <c r="W3" s="717"/>
      <c r="X3" s="717"/>
      <c r="Y3" s="718"/>
      <c r="AA3" s="713"/>
      <c r="AB3" s="713"/>
    </row>
    <row r="4" spans="1:28" ht="48" customHeight="1" x14ac:dyDescent="0.25">
      <c r="A4" s="714" t="s">
        <v>68</v>
      </c>
      <c r="B4" s="714" t="s">
        <v>76</v>
      </c>
      <c r="C4" s="714" t="s">
        <v>69</v>
      </c>
      <c r="D4" s="786" t="s">
        <v>70</v>
      </c>
      <c r="E4" s="787"/>
      <c r="F4" s="786" t="s">
        <v>71</v>
      </c>
      <c r="G4" s="787"/>
      <c r="H4" s="786" t="s">
        <v>78</v>
      </c>
      <c r="I4" s="787"/>
      <c r="J4" s="786" t="s">
        <v>80</v>
      </c>
      <c r="K4" s="787"/>
      <c r="L4" s="786" t="s">
        <v>81</v>
      </c>
      <c r="M4" s="787"/>
      <c r="N4" s="786" t="s">
        <v>82</v>
      </c>
      <c r="O4" s="787"/>
      <c r="P4" s="786" t="s">
        <v>83</v>
      </c>
      <c r="Q4" s="787"/>
      <c r="R4" s="786" t="s">
        <v>120</v>
      </c>
      <c r="S4" s="787"/>
      <c r="T4" s="786" t="s">
        <v>110</v>
      </c>
      <c r="U4" s="787"/>
      <c r="V4" s="785" t="s">
        <v>212</v>
      </c>
      <c r="W4" s="785"/>
      <c r="X4" s="785"/>
      <c r="Y4" s="785"/>
      <c r="Z4" s="713"/>
      <c r="AA4" s="713"/>
      <c r="AB4" s="713"/>
    </row>
    <row r="5" spans="1:28" ht="57.75" customHeight="1" x14ac:dyDescent="0.25">
      <c r="A5" s="117" t="s">
        <v>217</v>
      </c>
      <c r="B5" s="117" t="s">
        <v>129</v>
      </c>
      <c r="C5" s="71" t="s">
        <v>85</v>
      </c>
      <c r="D5" s="791" t="s">
        <v>46</v>
      </c>
      <c r="E5" s="792"/>
      <c r="F5" s="791" t="s">
        <v>121</v>
      </c>
      <c r="G5" s="792"/>
      <c r="H5" s="791" t="s">
        <v>47</v>
      </c>
      <c r="I5" s="792"/>
      <c r="J5" s="791" t="s">
        <v>122</v>
      </c>
      <c r="K5" s="792"/>
      <c r="L5" s="791" t="s">
        <v>49</v>
      </c>
      <c r="M5" s="792"/>
      <c r="N5" s="791" t="s">
        <v>53</v>
      </c>
      <c r="O5" s="792"/>
      <c r="P5" s="791" t="s">
        <v>55</v>
      </c>
      <c r="Q5" s="792"/>
      <c r="R5" s="791" t="s">
        <v>125</v>
      </c>
      <c r="S5" s="792"/>
      <c r="T5" s="791" t="s">
        <v>126</v>
      </c>
      <c r="U5" s="792"/>
      <c r="V5" s="793" t="s">
        <v>100</v>
      </c>
      <c r="W5" s="793"/>
      <c r="X5" s="793"/>
      <c r="Y5" s="793"/>
      <c r="Z5" s="713"/>
      <c r="AA5" s="713"/>
      <c r="AB5" s="713"/>
    </row>
    <row r="6" spans="1:28" ht="57" x14ac:dyDescent="0.25">
      <c r="A6" s="53"/>
      <c r="B6" s="67"/>
      <c r="C6" s="71" t="s">
        <v>106</v>
      </c>
      <c r="D6" s="57" t="s">
        <v>220</v>
      </c>
      <c r="E6" s="15" t="s">
        <v>219</v>
      </c>
      <c r="F6" s="138" t="s">
        <v>220</v>
      </c>
      <c r="G6" s="15" t="s">
        <v>219</v>
      </c>
      <c r="H6" s="138" t="s">
        <v>220</v>
      </c>
      <c r="I6" s="15" t="s">
        <v>219</v>
      </c>
      <c r="J6" s="138" t="s">
        <v>220</v>
      </c>
      <c r="K6" s="15" t="s">
        <v>219</v>
      </c>
      <c r="L6" s="138" t="s">
        <v>220</v>
      </c>
      <c r="M6" s="15" t="s">
        <v>219</v>
      </c>
      <c r="N6" s="138" t="s">
        <v>220</v>
      </c>
      <c r="O6" s="15" t="s">
        <v>219</v>
      </c>
      <c r="P6" s="138" t="s">
        <v>220</v>
      </c>
      <c r="Q6" s="15" t="s">
        <v>219</v>
      </c>
      <c r="R6" s="138" t="s">
        <v>220</v>
      </c>
      <c r="S6" s="15" t="s">
        <v>219</v>
      </c>
      <c r="T6" s="138" t="s">
        <v>220</v>
      </c>
      <c r="U6" s="15" t="s">
        <v>219</v>
      </c>
      <c r="V6" s="138" t="s">
        <v>220</v>
      </c>
      <c r="W6" s="15" t="s">
        <v>219</v>
      </c>
      <c r="X6" s="57" t="s">
        <v>155</v>
      </c>
      <c r="Y6" s="15" t="s">
        <v>219</v>
      </c>
      <c r="Z6" s="713"/>
      <c r="AA6" s="713"/>
      <c r="AB6" s="713"/>
    </row>
    <row r="7" spans="1:28" x14ac:dyDescent="0.25">
      <c r="A7" s="53" t="s">
        <v>1</v>
      </c>
      <c r="B7" s="53" t="s">
        <v>136</v>
      </c>
      <c r="C7" s="72" t="s">
        <v>133</v>
      </c>
      <c r="D7" s="93">
        <v>106325004</v>
      </c>
      <c r="E7" s="93">
        <f>D7-1924500</f>
        <v>104400504</v>
      </c>
      <c r="F7" s="93">
        <v>15767994</v>
      </c>
      <c r="G7" s="93">
        <f>F7</f>
        <v>15767994</v>
      </c>
      <c r="H7" s="93">
        <v>5059272</v>
      </c>
      <c r="I7" s="93">
        <f>H7+1674500-152800</f>
        <v>6580972</v>
      </c>
      <c r="J7" s="94"/>
      <c r="K7" s="94"/>
      <c r="L7" s="92"/>
      <c r="M7" s="92"/>
      <c r="N7" s="92"/>
      <c r="O7" s="92">
        <f>402800+55215</f>
        <v>458015</v>
      </c>
      <c r="P7" s="92"/>
      <c r="Q7" s="92"/>
      <c r="R7" s="92"/>
      <c r="S7" s="92"/>
      <c r="T7" s="94"/>
      <c r="U7" s="94"/>
      <c r="V7" s="105">
        <f>D7+F7+H7+J7+L7+N7+P7+R7+T7</f>
        <v>127152270</v>
      </c>
      <c r="W7" s="105"/>
      <c r="X7" s="105"/>
      <c r="Y7" s="105">
        <f>E7+G7+I7+K7+M7+O7+Q7+S7+U7</f>
        <v>127207485</v>
      </c>
      <c r="Z7" s="713"/>
      <c r="AA7" s="713"/>
      <c r="AB7" s="713"/>
    </row>
    <row r="8" spans="1:28" x14ac:dyDescent="0.25">
      <c r="A8" s="53" t="s">
        <v>3</v>
      </c>
      <c r="B8" s="53" t="s">
        <v>93</v>
      </c>
      <c r="C8" s="72" t="s">
        <v>300</v>
      </c>
      <c r="D8" s="93"/>
      <c r="E8" s="93"/>
      <c r="F8" s="93"/>
      <c r="G8" s="93"/>
      <c r="H8" s="93"/>
      <c r="I8" s="93"/>
      <c r="J8" s="94"/>
      <c r="K8" s="94"/>
      <c r="L8" s="92"/>
      <c r="M8" s="92"/>
      <c r="N8" s="92"/>
      <c r="O8" s="92"/>
      <c r="P8" s="92"/>
      <c r="Q8" s="92"/>
      <c r="R8" s="92"/>
      <c r="S8" s="92"/>
      <c r="T8" s="94"/>
      <c r="U8" s="94"/>
      <c r="V8" s="105">
        <f t="shared" ref="V8:V10" si="0">SUM(D8:U8)</f>
        <v>0</v>
      </c>
      <c r="W8" s="105"/>
      <c r="X8" s="105"/>
      <c r="Y8" s="105"/>
      <c r="Z8" s="713"/>
      <c r="AA8" s="713"/>
      <c r="AB8" s="713"/>
    </row>
    <row r="9" spans="1:28" x14ac:dyDescent="0.25">
      <c r="A9" s="53" t="s">
        <v>4</v>
      </c>
      <c r="B9" s="53"/>
      <c r="C9" s="72" t="s">
        <v>259</v>
      </c>
      <c r="D9" s="93"/>
      <c r="E9" s="93"/>
      <c r="F9" s="93"/>
      <c r="G9" s="93"/>
      <c r="H9" s="93"/>
      <c r="I9" s="93"/>
      <c r="J9" s="94"/>
      <c r="K9" s="94"/>
      <c r="L9" s="92"/>
      <c r="M9" s="92"/>
      <c r="N9" s="92"/>
      <c r="O9" s="92"/>
      <c r="P9" s="92"/>
      <c r="Q9" s="92"/>
      <c r="R9" s="92"/>
      <c r="S9" s="92"/>
      <c r="T9" s="94"/>
      <c r="U9" s="94"/>
      <c r="V9" s="105">
        <f t="shared" si="0"/>
        <v>0</v>
      </c>
      <c r="W9" s="105"/>
      <c r="X9" s="105"/>
      <c r="Y9" s="105"/>
      <c r="Z9" s="713"/>
      <c r="AA9" s="713"/>
      <c r="AB9" s="713"/>
    </row>
    <row r="10" spans="1:28" ht="27.75" customHeight="1" x14ac:dyDescent="0.25">
      <c r="A10" s="53" t="s">
        <v>6</v>
      </c>
      <c r="B10" s="53"/>
      <c r="C10" s="734" t="s">
        <v>260</v>
      </c>
      <c r="D10" s="93"/>
      <c r="E10" s="93"/>
      <c r="F10" s="93"/>
      <c r="G10" s="93"/>
      <c r="H10" s="93"/>
      <c r="I10" s="93"/>
      <c r="J10" s="94"/>
      <c r="K10" s="94"/>
      <c r="L10" s="92"/>
      <c r="M10" s="92"/>
      <c r="N10" s="92"/>
      <c r="O10" s="92"/>
      <c r="P10" s="92"/>
      <c r="Q10" s="92"/>
      <c r="R10" s="92"/>
      <c r="S10" s="92"/>
      <c r="T10" s="94"/>
      <c r="U10" s="94"/>
      <c r="V10" s="105">
        <f t="shared" si="0"/>
        <v>0</v>
      </c>
      <c r="W10" s="105"/>
      <c r="X10" s="105"/>
      <c r="Y10" s="105"/>
      <c r="Z10" s="713"/>
      <c r="AA10" s="713"/>
      <c r="AB10" s="713"/>
    </row>
    <row r="11" spans="1:28" ht="15.75" x14ac:dyDescent="0.25">
      <c r="A11" s="53"/>
      <c r="B11" s="53"/>
      <c r="C11" s="71" t="s">
        <v>108</v>
      </c>
      <c r="D11" s="105">
        <f>SUM(D7:D10)</f>
        <v>106325004</v>
      </c>
      <c r="E11" s="105">
        <f t="shared" ref="E11:Y11" si="1">SUM(E7:E10)</f>
        <v>104400504</v>
      </c>
      <c r="F11" s="105">
        <f t="shared" si="1"/>
        <v>15767994</v>
      </c>
      <c r="G11" s="105">
        <f t="shared" si="1"/>
        <v>15767994</v>
      </c>
      <c r="H11" s="105">
        <f t="shared" si="1"/>
        <v>5059272</v>
      </c>
      <c r="I11" s="105">
        <f t="shared" si="1"/>
        <v>6580972</v>
      </c>
      <c r="J11" s="105">
        <f t="shared" si="1"/>
        <v>0</v>
      </c>
      <c r="K11" s="105">
        <f t="shared" si="1"/>
        <v>0</v>
      </c>
      <c r="L11" s="105">
        <f t="shared" si="1"/>
        <v>0</v>
      </c>
      <c r="M11" s="105">
        <f t="shared" si="1"/>
        <v>0</v>
      </c>
      <c r="N11" s="105">
        <f t="shared" si="1"/>
        <v>0</v>
      </c>
      <c r="O11" s="105">
        <f t="shared" si="1"/>
        <v>458015</v>
      </c>
      <c r="P11" s="105">
        <f t="shared" si="1"/>
        <v>0</v>
      </c>
      <c r="Q11" s="105">
        <f t="shared" si="1"/>
        <v>0</v>
      </c>
      <c r="R11" s="105">
        <f t="shared" si="1"/>
        <v>0</v>
      </c>
      <c r="S11" s="105">
        <f t="shared" si="1"/>
        <v>0</v>
      </c>
      <c r="T11" s="105">
        <f t="shared" si="1"/>
        <v>0</v>
      </c>
      <c r="U11" s="105">
        <f t="shared" si="1"/>
        <v>0</v>
      </c>
      <c r="V11" s="105">
        <f t="shared" si="1"/>
        <v>127152270</v>
      </c>
      <c r="W11" s="105">
        <f t="shared" si="1"/>
        <v>0</v>
      </c>
      <c r="X11" s="105">
        <f t="shared" si="1"/>
        <v>0</v>
      </c>
      <c r="Y11" s="105">
        <f t="shared" si="1"/>
        <v>127207485</v>
      </c>
      <c r="Z11" s="713"/>
      <c r="AA11" s="713"/>
      <c r="AB11" s="713"/>
    </row>
    <row r="12" spans="1:28" x14ac:dyDescent="0.25">
      <c r="A12" s="53" t="s">
        <v>8</v>
      </c>
      <c r="B12" s="53"/>
      <c r="C12" s="60" t="s">
        <v>98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105"/>
      <c r="W12" s="91"/>
      <c r="X12" s="91"/>
      <c r="Y12" s="91"/>
      <c r="Z12" s="713"/>
      <c r="AA12" s="713"/>
      <c r="AB12" s="713"/>
    </row>
    <row r="13" spans="1:28" x14ac:dyDescent="0.25">
      <c r="A13" s="53" t="s">
        <v>22</v>
      </c>
      <c r="B13" s="53"/>
      <c r="C13" s="60" t="s">
        <v>133</v>
      </c>
      <c r="D13" s="91">
        <f>D7</f>
        <v>106325004</v>
      </c>
      <c r="E13" s="91">
        <f t="shared" ref="E13:Y13" si="2">E7</f>
        <v>104400504</v>
      </c>
      <c r="F13" s="91">
        <f t="shared" si="2"/>
        <v>15767994</v>
      </c>
      <c r="G13" s="91">
        <f t="shared" si="2"/>
        <v>15767994</v>
      </c>
      <c r="H13" s="91">
        <f t="shared" si="2"/>
        <v>5059272</v>
      </c>
      <c r="I13" s="91">
        <f t="shared" si="2"/>
        <v>6580972</v>
      </c>
      <c r="J13" s="91">
        <f t="shared" si="2"/>
        <v>0</v>
      </c>
      <c r="K13" s="91">
        <f t="shared" si="2"/>
        <v>0</v>
      </c>
      <c r="L13" s="91">
        <f t="shared" si="2"/>
        <v>0</v>
      </c>
      <c r="M13" s="91">
        <f t="shared" si="2"/>
        <v>0</v>
      </c>
      <c r="N13" s="91">
        <f t="shared" si="2"/>
        <v>0</v>
      </c>
      <c r="O13" s="91">
        <f t="shared" si="2"/>
        <v>458015</v>
      </c>
      <c r="P13" s="91">
        <f t="shared" si="2"/>
        <v>0</v>
      </c>
      <c r="Q13" s="91">
        <f t="shared" si="2"/>
        <v>0</v>
      </c>
      <c r="R13" s="91">
        <f t="shared" si="2"/>
        <v>0</v>
      </c>
      <c r="S13" s="91">
        <f t="shared" si="2"/>
        <v>0</v>
      </c>
      <c r="T13" s="91">
        <f t="shared" si="2"/>
        <v>0</v>
      </c>
      <c r="U13" s="91">
        <f t="shared" si="2"/>
        <v>0</v>
      </c>
      <c r="V13" s="91">
        <f t="shared" si="2"/>
        <v>127152270</v>
      </c>
      <c r="W13" s="91">
        <f t="shared" si="2"/>
        <v>0</v>
      </c>
      <c r="X13" s="91">
        <f t="shared" si="2"/>
        <v>0</v>
      </c>
      <c r="Y13" s="91">
        <f t="shared" si="2"/>
        <v>127207485</v>
      </c>
      <c r="Z13" s="713"/>
      <c r="AA13" s="713"/>
      <c r="AB13" s="713"/>
    </row>
    <row r="14" spans="1:28" x14ac:dyDescent="0.25">
      <c r="Z14" s="713"/>
      <c r="AA14" s="713"/>
      <c r="AB14" s="713"/>
    </row>
    <row r="15" spans="1:28" x14ac:dyDescent="0.25">
      <c r="Z15" s="713"/>
      <c r="AA15" s="713"/>
      <c r="AB15" s="713"/>
    </row>
    <row r="16" spans="1:28" x14ac:dyDescent="0.25">
      <c r="D16" s="80"/>
      <c r="F16" s="80"/>
      <c r="U16" s="80"/>
      <c r="V16" s="80"/>
      <c r="Z16" s="713"/>
      <c r="AA16" s="713"/>
      <c r="AB16" s="713"/>
    </row>
    <row r="17" spans="6:28" x14ac:dyDescent="0.25">
      <c r="Z17" s="713"/>
      <c r="AA17" s="713"/>
      <c r="AB17" s="713"/>
    </row>
    <row r="18" spans="6:28" x14ac:dyDescent="0.25">
      <c r="Z18" s="713"/>
      <c r="AA18" s="713"/>
      <c r="AB18" s="713"/>
    </row>
    <row r="19" spans="6:28" x14ac:dyDescent="0.25">
      <c r="Z19" s="713"/>
      <c r="AA19" s="713"/>
      <c r="AB19" s="713"/>
    </row>
    <row r="20" spans="6:28" x14ac:dyDescent="0.25">
      <c r="Z20" s="713"/>
      <c r="AA20" s="713"/>
      <c r="AB20" s="713"/>
    </row>
    <row r="21" spans="6:28" x14ac:dyDescent="0.25">
      <c r="Z21" s="713"/>
      <c r="AA21" s="713"/>
      <c r="AB21" s="713"/>
    </row>
    <row r="22" spans="6:28" x14ac:dyDescent="0.25">
      <c r="Z22" s="713"/>
      <c r="AA22" s="713"/>
      <c r="AB22" s="713"/>
    </row>
    <row r="23" spans="6:28" x14ac:dyDescent="0.25">
      <c r="F23" s="80"/>
      <c r="Z23" s="713"/>
      <c r="AA23" s="713"/>
      <c r="AB23" s="713"/>
    </row>
    <row r="24" spans="6:28" x14ac:dyDescent="0.25">
      <c r="F24" s="80"/>
      <c r="Z24" s="713"/>
      <c r="AA24" s="713"/>
      <c r="AB24" s="713"/>
    </row>
    <row r="25" spans="6:28" x14ac:dyDescent="0.25">
      <c r="Z25" s="713"/>
      <c r="AA25" s="713"/>
      <c r="AB25" s="713"/>
    </row>
    <row r="26" spans="6:28" x14ac:dyDescent="0.25">
      <c r="Z26" s="713"/>
      <c r="AA26" s="713"/>
      <c r="AB26" s="713"/>
    </row>
    <row r="27" spans="6:28" x14ac:dyDescent="0.25">
      <c r="Z27" s="713"/>
      <c r="AA27" s="713"/>
      <c r="AB27" s="713"/>
    </row>
    <row r="28" spans="6:28" x14ac:dyDescent="0.25">
      <c r="Z28" s="713"/>
      <c r="AA28" s="713"/>
    </row>
  </sheetData>
  <mergeCells count="22">
    <mergeCell ref="C2:K2"/>
    <mergeCell ref="C3:V3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Y5"/>
    <mergeCell ref="D4:E4"/>
    <mergeCell ref="F4:G4"/>
    <mergeCell ref="H4:I4"/>
    <mergeCell ref="J4:K4"/>
    <mergeCell ref="V4:Y4"/>
    <mergeCell ref="L4:M4"/>
    <mergeCell ref="N4:O4"/>
    <mergeCell ref="P4:Q4"/>
    <mergeCell ref="R4:S4"/>
    <mergeCell ref="T4:U4"/>
  </mergeCells>
  <phoneticPr fontId="3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Z20"/>
  <sheetViews>
    <sheetView view="pageBreakPreview" zoomScaleNormal="100" zoomScaleSheetLayoutView="100" workbookViewId="0">
      <selection activeCell="C1" sqref="C1"/>
    </sheetView>
  </sheetViews>
  <sheetFormatPr defaultColWidth="9.28515625" defaultRowHeight="15" x14ac:dyDescent="0.25"/>
  <cols>
    <col min="1" max="1" width="5.5703125" style="9" customWidth="1"/>
    <col min="2" max="2" width="14" style="73" customWidth="1"/>
    <col min="3" max="3" width="35" style="9" bestFit="1" customWidth="1"/>
    <col min="4" max="9" width="12.28515625" style="9" customWidth="1"/>
    <col min="10" max="10" width="9.7109375" style="9" customWidth="1"/>
    <col min="11" max="11" width="8.7109375" style="9" customWidth="1"/>
    <col min="12" max="12" width="10.140625" style="9" customWidth="1"/>
    <col min="13" max="13" width="10.28515625" style="9" customWidth="1"/>
    <col min="14" max="14" width="9.85546875" style="9" customWidth="1"/>
    <col min="15" max="15" width="10.140625" style="9" bestFit="1" customWidth="1"/>
    <col min="16" max="16" width="8.7109375" style="9" customWidth="1"/>
    <col min="17" max="17" width="7.85546875" style="9" bestFit="1" customWidth="1"/>
    <col min="18" max="18" width="9.85546875" style="9" customWidth="1"/>
    <col min="19" max="19" width="7.85546875" style="9" bestFit="1" customWidth="1"/>
    <col min="20" max="20" width="9.42578125" style="9" customWidth="1"/>
    <col min="21" max="21" width="7.85546875" style="9" bestFit="1" customWidth="1"/>
    <col min="22" max="22" width="12.28515625" style="9" customWidth="1"/>
    <col min="23" max="23" width="11.7109375" style="27" hidden="1" customWidth="1"/>
    <col min="24" max="24" width="12" style="9" hidden="1" customWidth="1"/>
    <col min="25" max="25" width="12.42578125" style="22" bestFit="1" customWidth="1"/>
    <col min="26" max="26" width="11.140625" style="9" bestFit="1" customWidth="1"/>
    <col min="27" max="16384" width="9.28515625" style="9"/>
  </cols>
  <sheetData>
    <row r="1" spans="1:25" x14ac:dyDescent="0.25">
      <c r="C1" s="699" t="s">
        <v>589</v>
      </c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</row>
    <row r="2" spans="1:25" x14ac:dyDescent="0.25">
      <c r="C2" s="795" t="s">
        <v>547</v>
      </c>
      <c r="D2" s="795"/>
      <c r="E2" s="795"/>
      <c r="F2" s="795"/>
      <c r="G2" s="795"/>
      <c r="H2" s="795"/>
      <c r="I2" s="795"/>
      <c r="J2" s="795"/>
    </row>
    <row r="3" spans="1:25" ht="54" customHeight="1" x14ac:dyDescent="0.25">
      <c r="A3" s="735"/>
      <c r="B3" s="736"/>
      <c r="C3" s="796" t="s">
        <v>284</v>
      </c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8"/>
    </row>
    <row r="4" spans="1:25" ht="54" customHeight="1" x14ac:dyDescent="0.25">
      <c r="A4" s="696" t="s">
        <v>68</v>
      </c>
      <c r="B4" s="696" t="s">
        <v>76</v>
      </c>
      <c r="C4" s="696" t="s">
        <v>69</v>
      </c>
      <c r="D4" s="794" t="s">
        <v>70</v>
      </c>
      <c r="E4" s="794"/>
      <c r="F4" s="794" t="s">
        <v>71</v>
      </c>
      <c r="G4" s="794"/>
      <c r="H4" s="794" t="s">
        <v>78</v>
      </c>
      <c r="I4" s="794"/>
      <c r="J4" s="794" t="s">
        <v>80</v>
      </c>
      <c r="K4" s="794"/>
      <c r="L4" s="794" t="s">
        <v>81</v>
      </c>
      <c r="M4" s="794"/>
      <c r="N4" s="794" t="s">
        <v>82</v>
      </c>
      <c r="O4" s="794"/>
      <c r="P4" s="794" t="s">
        <v>83</v>
      </c>
      <c r="Q4" s="794"/>
      <c r="R4" s="794" t="s">
        <v>120</v>
      </c>
      <c r="S4" s="794"/>
      <c r="T4" s="794" t="s">
        <v>110</v>
      </c>
      <c r="U4" s="794"/>
      <c r="V4" s="794" t="s">
        <v>212</v>
      </c>
      <c r="W4" s="794"/>
      <c r="X4" s="794"/>
      <c r="Y4" s="794"/>
    </row>
    <row r="5" spans="1:25" ht="45" customHeight="1" x14ac:dyDescent="0.25">
      <c r="A5" s="122" t="s">
        <v>217</v>
      </c>
      <c r="B5" s="700" t="s">
        <v>113</v>
      </c>
      <c r="C5" s="14" t="s">
        <v>85</v>
      </c>
      <c r="D5" s="793" t="s">
        <v>46</v>
      </c>
      <c r="E5" s="793"/>
      <c r="F5" s="793" t="s">
        <v>121</v>
      </c>
      <c r="G5" s="793"/>
      <c r="H5" s="793" t="s">
        <v>47</v>
      </c>
      <c r="I5" s="793"/>
      <c r="J5" s="793" t="s">
        <v>122</v>
      </c>
      <c r="K5" s="793"/>
      <c r="L5" s="793" t="s">
        <v>135</v>
      </c>
      <c r="M5" s="793"/>
      <c r="N5" s="793" t="s">
        <v>53</v>
      </c>
      <c r="O5" s="793"/>
      <c r="P5" s="793" t="s">
        <v>55</v>
      </c>
      <c r="Q5" s="793"/>
      <c r="R5" s="793" t="s">
        <v>125</v>
      </c>
      <c r="S5" s="793"/>
      <c r="T5" s="793" t="s">
        <v>130</v>
      </c>
      <c r="U5" s="793"/>
      <c r="V5" s="799" t="s">
        <v>100</v>
      </c>
      <c r="W5" s="799"/>
      <c r="X5" s="799"/>
      <c r="Y5" s="799"/>
    </row>
    <row r="6" spans="1:25" ht="46.5" customHeight="1" x14ac:dyDescent="0.25">
      <c r="A6" s="11" t="s">
        <v>1</v>
      </c>
      <c r="B6" s="18"/>
      <c r="C6" s="14" t="s">
        <v>106</v>
      </c>
      <c r="D6" s="57" t="s">
        <v>222</v>
      </c>
      <c r="E6" s="15" t="s">
        <v>219</v>
      </c>
      <c r="F6" s="138" t="s">
        <v>222</v>
      </c>
      <c r="G6" s="15" t="s">
        <v>219</v>
      </c>
      <c r="H6" s="138" t="s">
        <v>222</v>
      </c>
      <c r="I6" s="15" t="s">
        <v>219</v>
      </c>
      <c r="J6" s="138" t="s">
        <v>222</v>
      </c>
      <c r="K6" s="15" t="s">
        <v>219</v>
      </c>
      <c r="L6" s="138" t="s">
        <v>222</v>
      </c>
      <c r="M6" s="15" t="s">
        <v>219</v>
      </c>
      <c r="N6" s="138" t="s">
        <v>222</v>
      </c>
      <c r="O6" s="15" t="s">
        <v>219</v>
      </c>
      <c r="P6" s="138" t="s">
        <v>222</v>
      </c>
      <c r="Q6" s="15" t="s">
        <v>219</v>
      </c>
      <c r="R6" s="138" t="s">
        <v>222</v>
      </c>
      <c r="S6" s="15" t="s">
        <v>219</v>
      </c>
      <c r="T6" s="138" t="s">
        <v>222</v>
      </c>
      <c r="U6" s="15" t="s">
        <v>219</v>
      </c>
      <c r="V6" s="138" t="s">
        <v>222</v>
      </c>
      <c r="W6" s="15" t="s">
        <v>219</v>
      </c>
      <c r="X6" s="57" t="s">
        <v>155</v>
      </c>
      <c r="Y6" s="15" t="s">
        <v>219</v>
      </c>
    </row>
    <row r="7" spans="1:25" x14ac:dyDescent="0.25">
      <c r="A7" s="11" t="s">
        <v>3</v>
      </c>
      <c r="B7" s="18" t="s">
        <v>94</v>
      </c>
      <c r="C7" s="10" t="s">
        <v>302</v>
      </c>
      <c r="D7" s="126">
        <v>45757000</v>
      </c>
      <c r="E7" s="126">
        <f>D7+3420441</f>
        <v>49177441</v>
      </c>
      <c r="F7" s="126">
        <v>7387000</v>
      </c>
      <c r="G7" s="102">
        <f>F7+530168</f>
        <v>7917168</v>
      </c>
      <c r="H7" s="102">
        <f>5000000+26000000+300000+2500000+700000+50000+1700000+6000000+200000+300000+12271500+2700000</f>
        <v>57721500</v>
      </c>
      <c r="I7" s="102">
        <f>H7-1726100-100000</f>
        <v>55895400</v>
      </c>
      <c r="J7" s="102"/>
      <c r="K7" s="102"/>
      <c r="L7" s="102"/>
      <c r="M7" s="102"/>
      <c r="N7" s="102"/>
      <c r="O7" s="102">
        <f>1726100+100000</f>
        <v>1826100</v>
      </c>
      <c r="P7" s="102"/>
      <c r="Q7" s="102"/>
      <c r="R7" s="102"/>
      <c r="S7" s="102"/>
      <c r="T7" s="102"/>
      <c r="U7" s="102"/>
      <c r="V7" s="7">
        <f t="shared" ref="V7:V12" si="0">T7+R7+P7+N7+L7+J7+H7+F7+D7</f>
        <v>110865500</v>
      </c>
      <c r="W7" s="74">
        <v>63126</v>
      </c>
      <c r="X7" s="106">
        <f>58896+3200</f>
        <v>62096</v>
      </c>
      <c r="Y7" s="43">
        <f>E7+G7+I7+K7+M7+O7+Q7+S7+U7</f>
        <v>114816109</v>
      </c>
    </row>
    <row r="8" spans="1:25" x14ac:dyDescent="0.25">
      <c r="A8" s="11" t="s">
        <v>4</v>
      </c>
      <c r="B8" s="18" t="s">
        <v>93</v>
      </c>
      <c r="C8" s="10" t="s">
        <v>303</v>
      </c>
      <c r="D8" s="126">
        <v>6368000</v>
      </c>
      <c r="E8" s="126">
        <f>D8+485248</f>
        <v>6853248</v>
      </c>
      <c r="F8" s="126">
        <v>932000</v>
      </c>
      <c r="G8" s="102">
        <f>F8+75214</f>
        <v>1007214</v>
      </c>
      <c r="H8" s="102">
        <v>291000</v>
      </c>
      <c r="I8" s="102">
        <f>H8</f>
        <v>291000</v>
      </c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7">
        <f t="shared" si="0"/>
        <v>7591000</v>
      </c>
      <c r="W8" s="74">
        <v>9158</v>
      </c>
      <c r="X8" s="106">
        <v>8953</v>
      </c>
      <c r="Y8" s="43">
        <f t="shared" ref="Y8:Y15" si="1">E8+G8+I8+K8+M8+O8+Q8+S8+U8</f>
        <v>8151462</v>
      </c>
    </row>
    <row r="9" spans="1:25" x14ac:dyDescent="0.25">
      <c r="A9" s="11"/>
      <c r="B9" s="18" t="s">
        <v>93</v>
      </c>
      <c r="C9" s="10" t="s">
        <v>304</v>
      </c>
      <c r="D9" s="126"/>
      <c r="E9" s="126"/>
      <c r="F9" s="126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7"/>
      <c r="W9" s="74"/>
      <c r="X9" s="106"/>
      <c r="Y9" s="43">
        <f t="shared" si="1"/>
        <v>0</v>
      </c>
    </row>
    <row r="10" spans="1:25" x14ac:dyDescent="0.25">
      <c r="A10" s="11" t="s">
        <v>6</v>
      </c>
      <c r="B10" s="18" t="s">
        <v>94</v>
      </c>
      <c r="C10" s="10" t="s">
        <v>305</v>
      </c>
      <c r="D10" s="126">
        <v>45757000</v>
      </c>
      <c r="E10" s="126">
        <f>D10+3420442</f>
        <v>49177442</v>
      </c>
      <c r="F10" s="126">
        <v>7387000</v>
      </c>
      <c r="G10" s="102">
        <f>F10+530168</f>
        <v>7917168</v>
      </c>
      <c r="H10" s="102">
        <v>24994500</v>
      </c>
      <c r="I10" s="102">
        <f>H10</f>
        <v>24994500</v>
      </c>
      <c r="J10" s="102"/>
      <c r="K10" s="102"/>
      <c r="L10" s="102"/>
      <c r="M10" s="102"/>
      <c r="N10" s="102"/>
      <c r="O10" s="102">
        <v>425312</v>
      </c>
      <c r="P10" s="102"/>
      <c r="Q10" s="102"/>
      <c r="R10" s="102"/>
      <c r="S10" s="102"/>
      <c r="T10" s="102"/>
      <c r="U10" s="102"/>
      <c r="V10" s="7">
        <f>T10+R10+P10+N10+L10+J10+H10+F10+D10</f>
        <v>78138500</v>
      </c>
      <c r="W10" s="74">
        <v>2424</v>
      </c>
      <c r="X10" s="106">
        <v>2678</v>
      </c>
      <c r="Y10" s="43">
        <f t="shared" si="1"/>
        <v>82514422</v>
      </c>
    </row>
    <row r="11" spans="1:25" x14ac:dyDescent="0.25">
      <c r="A11" s="11" t="s">
        <v>8</v>
      </c>
      <c r="B11" s="18" t="s">
        <v>93</v>
      </c>
      <c r="C11" s="10" t="s">
        <v>116</v>
      </c>
      <c r="D11" s="126">
        <v>872000</v>
      </c>
      <c r="E11" s="126">
        <f>D11</f>
        <v>872000</v>
      </c>
      <c r="F11" s="126">
        <v>135000</v>
      </c>
      <c r="G11" s="102">
        <f>F11</f>
        <v>135000</v>
      </c>
      <c r="H11" s="102">
        <f>4104724+1108276</f>
        <v>5213000</v>
      </c>
      <c r="I11" s="102">
        <f>H11</f>
        <v>5213000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7">
        <f t="shared" si="0"/>
        <v>6220000</v>
      </c>
      <c r="W11" s="74">
        <v>15074</v>
      </c>
      <c r="X11" s="106">
        <v>15183</v>
      </c>
      <c r="Y11" s="43">
        <f t="shared" si="1"/>
        <v>6220000</v>
      </c>
    </row>
    <row r="12" spans="1:25" x14ac:dyDescent="0.25">
      <c r="A12" s="11" t="s">
        <v>22</v>
      </c>
      <c r="B12" s="18" t="s">
        <v>93</v>
      </c>
      <c r="C12" s="10" t="s">
        <v>306</v>
      </c>
      <c r="D12" s="10">
        <v>8581000</v>
      </c>
      <c r="E12" s="126">
        <f>D12+480093</f>
        <v>9061093</v>
      </c>
      <c r="F12" s="126">
        <v>1321000</v>
      </c>
      <c r="G12" s="102">
        <f>F12+74414</f>
        <v>1395414</v>
      </c>
      <c r="H12" s="102">
        <v>191000</v>
      </c>
      <c r="I12" s="102">
        <f>H12</f>
        <v>191000</v>
      </c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7">
        <f t="shared" si="0"/>
        <v>10093000</v>
      </c>
      <c r="W12" s="74">
        <v>6981</v>
      </c>
      <c r="X12" s="106">
        <v>7395</v>
      </c>
      <c r="Y12" s="43">
        <f t="shared" si="1"/>
        <v>10647507</v>
      </c>
    </row>
    <row r="13" spans="1:25" x14ac:dyDescent="0.25">
      <c r="A13" s="11"/>
      <c r="B13" s="18" t="s">
        <v>94</v>
      </c>
      <c r="C13" s="10" t="s">
        <v>301</v>
      </c>
      <c r="D13" s="10"/>
      <c r="E13" s="126">
        <v>2019180</v>
      </c>
      <c r="F13" s="126"/>
      <c r="G13" s="102">
        <v>156486</v>
      </c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7"/>
      <c r="W13" s="74"/>
      <c r="X13" s="106"/>
      <c r="Y13" s="43">
        <f t="shared" si="1"/>
        <v>2175666</v>
      </c>
    </row>
    <row r="14" spans="1:25" x14ac:dyDescent="0.25">
      <c r="A14" s="11" t="s">
        <v>24</v>
      </c>
      <c r="B14" s="18"/>
      <c r="C14" s="75" t="s">
        <v>108</v>
      </c>
      <c r="D14" s="7">
        <f>SUM(D7:D13)</f>
        <v>107335000</v>
      </c>
      <c r="E14" s="7">
        <f>SUM(E7:E13)</f>
        <v>117160404</v>
      </c>
      <c r="F14" s="7">
        <f t="shared" ref="F14:X14" si="2">SUM(F7:F13)</f>
        <v>17162000</v>
      </c>
      <c r="G14" s="7">
        <f t="shared" si="2"/>
        <v>18528450</v>
      </c>
      <c r="H14" s="7">
        <f t="shared" si="2"/>
        <v>88411000</v>
      </c>
      <c r="I14" s="7">
        <f t="shared" si="2"/>
        <v>86584900</v>
      </c>
      <c r="J14" s="7">
        <f t="shared" si="2"/>
        <v>0</v>
      </c>
      <c r="K14" s="7">
        <f t="shared" si="2"/>
        <v>0</v>
      </c>
      <c r="L14" s="7">
        <f t="shared" si="2"/>
        <v>0</v>
      </c>
      <c r="M14" s="7">
        <f t="shared" si="2"/>
        <v>0</v>
      </c>
      <c r="N14" s="7">
        <f t="shared" si="2"/>
        <v>0</v>
      </c>
      <c r="O14" s="7">
        <f t="shared" si="2"/>
        <v>2251412</v>
      </c>
      <c r="P14" s="7">
        <f t="shared" si="2"/>
        <v>0</v>
      </c>
      <c r="Q14" s="7">
        <f t="shared" si="2"/>
        <v>0</v>
      </c>
      <c r="R14" s="7">
        <f t="shared" si="2"/>
        <v>0</v>
      </c>
      <c r="S14" s="7">
        <f t="shared" si="2"/>
        <v>0</v>
      </c>
      <c r="T14" s="7">
        <f t="shared" si="2"/>
        <v>0</v>
      </c>
      <c r="U14" s="7">
        <f t="shared" si="2"/>
        <v>0</v>
      </c>
      <c r="V14" s="7">
        <f t="shared" si="2"/>
        <v>212908000</v>
      </c>
      <c r="W14" s="7">
        <f t="shared" si="2"/>
        <v>96763</v>
      </c>
      <c r="X14" s="7">
        <f t="shared" si="2"/>
        <v>96305</v>
      </c>
      <c r="Y14" s="43">
        <f>E14+G14+I14+K14+M14+O14+Q14+S14+U14</f>
        <v>224525166</v>
      </c>
    </row>
    <row r="15" spans="1:25" x14ac:dyDescent="0.25">
      <c r="A15" s="11" t="s">
        <v>25</v>
      </c>
      <c r="B15" s="18"/>
      <c r="C15" s="18" t="s">
        <v>98</v>
      </c>
      <c r="D15" s="74">
        <f>SUMIF($B7:$B13,"kötelező",D7:D13)</f>
        <v>15821000</v>
      </c>
      <c r="E15" s="74">
        <f t="shared" ref="E15:X15" si="3">SUMIF($B7:$B13,"kötelező",E7:E13)</f>
        <v>16786341</v>
      </c>
      <c r="F15" s="74">
        <f t="shared" si="3"/>
        <v>2388000</v>
      </c>
      <c r="G15" s="74">
        <f t="shared" si="3"/>
        <v>2537628</v>
      </c>
      <c r="H15" s="74">
        <f t="shared" si="3"/>
        <v>5695000</v>
      </c>
      <c r="I15" s="74">
        <f t="shared" si="3"/>
        <v>5695000</v>
      </c>
      <c r="J15" s="74">
        <f t="shared" si="3"/>
        <v>0</v>
      </c>
      <c r="K15" s="74">
        <f t="shared" si="3"/>
        <v>0</v>
      </c>
      <c r="L15" s="74">
        <f t="shared" si="3"/>
        <v>0</v>
      </c>
      <c r="M15" s="74">
        <f t="shared" si="3"/>
        <v>0</v>
      </c>
      <c r="N15" s="74">
        <f t="shared" si="3"/>
        <v>0</v>
      </c>
      <c r="O15" s="74">
        <f t="shared" si="3"/>
        <v>0</v>
      </c>
      <c r="P15" s="74">
        <f t="shared" si="3"/>
        <v>0</v>
      </c>
      <c r="Q15" s="74">
        <f t="shared" si="3"/>
        <v>0</v>
      </c>
      <c r="R15" s="74">
        <f t="shared" si="3"/>
        <v>0</v>
      </c>
      <c r="S15" s="74">
        <f t="shared" si="3"/>
        <v>0</v>
      </c>
      <c r="T15" s="74">
        <f t="shared" si="3"/>
        <v>0</v>
      </c>
      <c r="U15" s="74">
        <f t="shared" si="3"/>
        <v>0</v>
      </c>
      <c r="V15" s="74">
        <f t="shared" si="3"/>
        <v>23904000</v>
      </c>
      <c r="W15" s="74">
        <f t="shared" si="3"/>
        <v>31213</v>
      </c>
      <c r="X15" s="74">
        <f t="shared" si="3"/>
        <v>31531</v>
      </c>
      <c r="Y15" s="43">
        <f t="shared" si="1"/>
        <v>25018969</v>
      </c>
    </row>
    <row r="16" spans="1:25" x14ac:dyDescent="0.25">
      <c r="A16" s="11" t="s">
        <v>27</v>
      </c>
      <c r="B16" s="18"/>
      <c r="C16" s="18" t="s">
        <v>99</v>
      </c>
      <c r="D16" s="74">
        <f>SUMIF($B7:$B13,"nem kötelező",D7:D13)</f>
        <v>91514000</v>
      </c>
      <c r="E16" s="74">
        <f t="shared" ref="E16:Y16" si="4">SUMIF($B7:$B13,"nem kötelező",E7:E13)</f>
        <v>100374063</v>
      </c>
      <c r="F16" s="74">
        <f t="shared" si="4"/>
        <v>14774000</v>
      </c>
      <c r="G16" s="74">
        <f t="shared" si="4"/>
        <v>15990822</v>
      </c>
      <c r="H16" s="74">
        <f t="shared" si="4"/>
        <v>82716000</v>
      </c>
      <c r="I16" s="74">
        <f t="shared" si="4"/>
        <v>80889900</v>
      </c>
      <c r="J16" s="74">
        <f t="shared" si="4"/>
        <v>0</v>
      </c>
      <c r="K16" s="74">
        <f t="shared" si="4"/>
        <v>0</v>
      </c>
      <c r="L16" s="74">
        <f t="shared" si="4"/>
        <v>0</v>
      </c>
      <c r="M16" s="74">
        <f t="shared" si="4"/>
        <v>0</v>
      </c>
      <c r="N16" s="74">
        <f t="shared" si="4"/>
        <v>0</v>
      </c>
      <c r="O16" s="74">
        <f t="shared" si="4"/>
        <v>2251412</v>
      </c>
      <c r="P16" s="74">
        <f t="shared" si="4"/>
        <v>0</v>
      </c>
      <c r="Q16" s="74">
        <f t="shared" si="4"/>
        <v>0</v>
      </c>
      <c r="R16" s="74">
        <f t="shared" si="4"/>
        <v>0</v>
      </c>
      <c r="S16" s="74">
        <f t="shared" si="4"/>
        <v>0</v>
      </c>
      <c r="T16" s="74">
        <f t="shared" si="4"/>
        <v>0</v>
      </c>
      <c r="U16" s="74">
        <f t="shared" si="4"/>
        <v>0</v>
      </c>
      <c r="V16" s="74">
        <f t="shared" si="4"/>
        <v>189004000</v>
      </c>
      <c r="W16" s="74">
        <f t="shared" si="4"/>
        <v>65550</v>
      </c>
      <c r="X16" s="74">
        <f t="shared" si="4"/>
        <v>64774</v>
      </c>
      <c r="Y16" s="74">
        <f t="shared" si="4"/>
        <v>199506197</v>
      </c>
    </row>
    <row r="17" spans="1:26" x14ac:dyDescent="0.25">
      <c r="A17" s="11" t="s">
        <v>28</v>
      </c>
      <c r="B17" s="18"/>
      <c r="C17" s="18" t="s">
        <v>132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43">
        <v>31</v>
      </c>
      <c r="W17" s="43">
        <v>30</v>
      </c>
      <c r="X17" s="43">
        <v>30</v>
      </c>
      <c r="Y17" s="43">
        <v>31</v>
      </c>
      <c r="Z17" s="27"/>
    </row>
    <row r="18" spans="1:26" x14ac:dyDescent="0.25">
      <c r="A18" s="11" t="s">
        <v>29</v>
      </c>
      <c r="B18" s="18"/>
      <c r="C18" s="18" t="s">
        <v>131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>
        <v>0</v>
      </c>
      <c r="W18" s="74">
        <v>0</v>
      </c>
      <c r="X18" s="74">
        <v>0</v>
      </c>
      <c r="Y18" s="74">
        <v>0</v>
      </c>
    </row>
    <row r="19" spans="1:26" x14ac:dyDescent="0.25">
      <c r="Y19" s="157"/>
    </row>
    <row r="20" spans="1:26" x14ac:dyDescent="0.25">
      <c r="Y20" s="157"/>
    </row>
  </sheetData>
  <mergeCells count="22">
    <mergeCell ref="C2:J2"/>
    <mergeCell ref="C3:Y3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Y5"/>
    <mergeCell ref="D4:E4"/>
    <mergeCell ref="F4:G4"/>
    <mergeCell ref="H4:I4"/>
    <mergeCell ref="J4:K4"/>
    <mergeCell ref="V4:Y4"/>
    <mergeCell ref="L4:M4"/>
    <mergeCell ref="N4:O4"/>
    <mergeCell ref="P4:Q4"/>
    <mergeCell ref="R4:S4"/>
    <mergeCell ref="T4:U4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  <ignoredErrors>
    <ignoredError sqref="H1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Y16"/>
  <sheetViews>
    <sheetView zoomScaleNormal="100" zoomScaleSheetLayoutView="100" workbookViewId="0">
      <selection activeCell="C1" sqref="C1"/>
    </sheetView>
  </sheetViews>
  <sheetFormatPr defaultColWidth="9.28515625" defaultRowHeight="15" x14ac:dyDescent="0.25"/>
  <cols>
    <col min="1" max="1" width="5.140625" style="9" customWidth="1"/>
    <col min="2" max="2" width="10" style="73" bestFit="1" customWidth="1"/>
    <col min="3" max="3" width="36" style="9" customWidth="1"/>
    <col min="4" max="9" width="12.7109375" style="9" customWidth="1"/>
    <col min="10" max="10" width="9.7109375" style="9" customWidth="1"/>
    <col min="11" max="11" width="7.85546875" style="9" bestFit="1" customWidth="1"/>
    <col min="12" max="12" width="9.85546875" style="9" customWidth="1"/>
    <col min="13" max="13" width="7.85546875" style="9" bestFit="1" customWidth="1"/>
    <col min="14" max="14" width="9.85546875" style="9" customWidth="1"/>
    <col min="15" max="15" width="10.140625" style="9" bestFit="1" customWidth="1"/>
    <col min="16" max="16" width="9.5703125" style="9" customWidth="1"/>
    <col min="17" max="17" width="7.85546875" style="9" bestFit="1" customWidth="1"/>
    <col min="18" max="18" width="10" style="9" customWidth="1"/>
    <col min="19" max="19" width="7.85546875" style="9" bestFit="1" customWidth="1"/>
    <col min="20" max="20" width="9.42578125" style="9" customWidth="1"/>
    <col min="21" max="21" width="7.85546875" style="9" bestFit="1" customWidth="1"/>
    <col min="22" max="22" width="12.7109375" style="9" customWidth="1"/>
    <col min="23" max="23" width="0" style="9" hidden="1" customWidth="1"/>
    <col min="24" max="24" width="11.28515625" style="9" hidden="1" customWidth="1"/>
    <col min="25" max="25" width="12.42578125" style="9" bestFit="1" customWidth="1"/>
    <col min="26" max="16384" width="9.28515625" style="9"/>
  </cols>
  <sheetData>
    <row r="1" spans="1:25" x14ac:dyDescent="0.25">
      <c r="C1" s="699" t="s">
        <v>590</v>
      </c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</row>
    <row r="2" spans="1:25" x14ac:dyDescent="0.25">
      <c r="C2" s="733" t="s">
        <v>548</v>
      </c>
      <c r="D2" s="733"/>
      <c r="E2" s="733"/>
      <c r="F2" s="733"/>
      <c r="G2" s="733"/>
      <c r="H2" s="733"/>
      <c r="I2" s="733"/>
      <c r="J2" s="733"/>
      <c r="K2" s="733"/>
    </row>
    <row r="3" spans="1:25" ht="42" customHeight="1" x14ac:dyDescent="0.25">
      <c r="A3" s="123"/>
      <c r="B3" s="124"/>
      <c r="C3" s="797" t="s">
        <v>285</v>
      </c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</row>
    <row r="4" spans="1:25" ht="42" customHeight="1" x14ac:dyDescent="0.25">
      <c r="A4" s="45" t="s">
        <v>68</v>
      </c>
      <c r="B4" s="45" t="s">
        <v>76</v>
      </c>
      <c r="C4" s="121" t="s">
        <v>69</v>
      </c>
      <c r="D4" s="800" t="s">
        <v>70</v>
      </c>
      <c r="E4" s="800"/>
      <c r="F4" s="800" t="s">
        <v>71</v>
      </c>
      <c r="G4" s="800"/>
      <c r="H4" s="800" t="s">
        <v>78</v>
      </c>
      <c r="I4" s="800"/>
      <c r="J4" s="800" t="s">
        <v>80</v>
      </c>
      <c r="K4" s="800"/>
      <c r="L4" s="800" t="s">
        <v>81</v>
      </c>
      <c r="M4" s="800"/>
      <c r="N4" s="800" t="s">
        <v>82</v>
      </c>
      <c r="O4" s="800"/>
      <c r="P4" s="800" t="s">
        <v>83</v>
      </c>
      <c r="Q4" s="800"/>
      <c r="R4" s="800" t="s">
        <v>120</v>
      </c>
      <c r="S4" s="800"/>
      <c r="T4" s="800" t="s">
        <v>110</v>
      </c>
      <c r="U4" s="800"/>
      <c r="V4" s="800" t="s">
        <v>212</v>
      </c>
      <c r="W4" s="800"/>
      <c r="X4" s="800"/>
      <c r="Y4" s="800"/>
    </row>
    <row r="5" spans="1:25" ht="56.25" customHeight="1" x14ac:dyDescent="0.25">
      <c r="A5" s="122" t="s">
        <v>217</v>
      </c>
      <c r="B5" s="121" t="s">
        <v>113</v>
      </c>
      <c r="C5" s="14" t="s">
        <v>85</v>
      </c>
      <c r="D5" s="793" t="s">
        <v>46</v>
      </c>
      <c r="E5" s="793"/>
      <c r="F5" s="793" t="s">
        <v>121</v>
      </c>
      <c r="G5" s="793"/>
      <c r="H5" s="793" t="s">
        <v>47</v>
      </c>
      <c r="I5" s="793"/>
      <c r="J5" s="793" t="s">
        <v>122</v>
      </c>
      <c r="K5" s="793"/>
      <c r="L5" s="793" t="s">
        <v>49</v>
      </c>
      <c r="M5" s="793"/>
      <c r="N5" s="793" t="s">
        <v>53</v>
      </c>
      <c r="O5" s="793"/>
      <c r="P5" s="793" t="s">
        <v>55</v>
      </c>
      <c r="Q5" s="793"/>
      <c r="R5" s="793" t="s">
        <v>125</v>
      </c>
      <c r="S5" s="793"/>
      <c r="T5" s="793" t="s">
        <v>130</v>
      </c>
      <c r="U5" s="793"/>
      <c r="V5" s="799" t="s">
        <v>100</v>
      </c>
      <c r="W5" s="799"/>
      <c r="X5" s="799"/>
      <c r="Y5" s="799"/>
    </row>
    <row r="6" spans="1:25" ht="48.75" customHeight="1" x14ac:dyDescent="0.25">
      <c r="A6" s="11" t="s">
        <v>1</v>
      </c>
      <c r="B6" s="18"/>
      <c r="C6" s="14" t="s">
        <v>106</v>
      </c>
      <c r="D6" s="108" t="s">
        <v>220</v>
      </c>
      <c r="E6" s="15" t="s">
        <v>219</v>
      </c>
      <c r="F6" s="138" t="s">
        <v>220</v>
      </c>
      <c r="G6" s="15" t="s">
        <v>219</v>
      </c>
      <c r="H6" s="138" t="s">
        <v>220</v>
      </c>
      <c r="I6" s="15" t="s">
        <v>219</v>
      </c>
      <c r="J6" s="138" t="s">
        <v>220</v>
      </c>
      <c r="K6" s="15" t="s">
        <v>219</v>
      </c>
      <c r="L6" s="138" t="s">
        <v>220</v>
      </c>
      <c r="M6" s="15" t="s">
        <v>219</v>
      </c>
      <c r="N6" s="138" t="s">
        <v>220</v>
      </c>
      <c r="O6" s="15" t="s">
        <v>219</v>
      </c>
      <c r="P6" s="138" t="s">
        <v>220</v>
      </c>
      <c r="Q6" s="15" t="s">
        <v>219</v>
      </c>
      <c r="R6" s="138" t="s">
        <v>220</v>
      </c>
      <c r="S6" s="15" t="s">
        <v>219</v>
      </c>
      <c r="T6" s="138" t="s">
        <v>220</v>
      </c>
      <c r="U6" s="15" t="s">
        <v>219</v>
      </c>
      <c r="V6" s="138" t="s">
        <v>220</v>
      </c>
      <c r="W6" s="15" t="s">
        <v>219</v>
      </c>
      <c r="X6" s="108" t="s">
        <v>155</v>
      </c>
      <c r="Y6" s="15" t="s">
        <v>219</v>
      </c>
    </row>
    <row r="7" spans="1:25" s="52" customFormat="1" ht="33.75" customHeight="1" x14ac:dyDescent="0.25">
      <c r="A7" s="11" t="s">
        <v>3</v>
      </c>
      <c r="B7" s="125" t="s">
        <v>93</v>
      </c>
      <c r="C7" s="734" t="s">
        <v>118</v>
      </c>
      <c r="D7" s="93">
        <v>84650377</v>
      </c>
      <c r="E7" s="93">
        <f>D7+45393</f>
        <v>84695770</v>
      </c>
      <c r="F7" s="93">
        <v>13067798</v>
      </c>
      <c r="G7" s="93">
        <f>F7</f>
        <v>13067798</v>
      </c>
      <c r="H7" s="93">
        <v>100000</v>
      </c>
      <c r="I7" s="93">
        <f>H7</f>
        <v>100000</v>
      </c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105">
        <f>D7+F7+H7+J7+L7+N7+P7+R7</f>
        <v>97818175</v>
      </c>
      <c r="W7" s="105">
        <f t="shared" ref="W7:X7" si="0">E7+G7+I7+K7+M7+O7+Q7+S7</f>
        <v>97863568</v>
      </c>
      <c r="X7" s="105">
        <f t="shared" si="0"/>
        <v>13167798</v>
      </c>
      <c r="Y7" s="105">
        <f>E7+G7+I7+K7+M7+O7+Q7+S7</f>
        <v>97863568</v>
      </c>
    </row>
    <row r="8" spans="1:25" s="52" customFormat="1" ht="33.75" customHeight="1" x14ac:dyDescent="0.25">
      <c r="A8" s="11" t="s">
        <v>4</v>
      </c>
      <c r="B8" s="125" t="s">
        <v>93</v>
      </c>
      <c r="C8" s="734" t="s">
        <v>253</v>
      </c>
      <c r="D8" s="93"/>
      <c r="E8" s="93"/>
      <c r="F8" s="93"/>
      <c r="G8" s="93"/>
      <c r="H8" s="93">
        <f>1176000+672000</f>
        <v>1848000</v>
      </c>
      <c r="I8" s="93">
        <f>H8</f>
        <v>1848000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105">
        <f t="shared" ref="V8:V12" si="1">D8+F8+H8+J8+L8+N8+P8+R8</f>
        <v>1848000</v>
      </c>
      <c r="W8" s="105"/>
      <c r="X8" s="105"/>
      <c r="Y8" s="105">
        <f t="shared" ref="Y8:Y12" si="2">E8+G8+I8+K8+M8+O8+Q8+S8</f>
        <v>1848000</v>
      </c>
    </row>
    <row r="9" spans="1:25" s="52" customFormat="1" ht="33.75" customHeight="1" x14ac:dyDescent="0.25">
      <c r="A9" s="11" t="s">
        <v>6</v>
      </c>
      <c r="B9" s="125" t="s">
        <v>93</v>
      </c>
      <c r="C9" s="734" t="s">
        <v>254</v>
      </c>
      <c r="D9" s="93"/>
      <c r="E9" s="93"/>
      <c r="F9" s="93"/>
      <c r="G9" s="93"/>
      <c r="H9" s="93">
        <v>9105538</v>
      </c>
      <c r="I9" s="93">
        <f>H9-1500000</f>
        <v>7605538</v>
      </c>
      <c r="J9" s="93"/>
      <c r="K9" s="93"/>
      <c r="L9" s="93"/>
      <c r="M9" s="93"/>
      <c r="N9" s="93"/>
      <c r="O9" s="93">
        <f>85000+1095700+319300+379090</f>
        <v>1879090</v>
      </c>
      <c r="P9" s="93"/>
      <c r="Q9" s="93"/>
      <c r="R9" s="93"/>
      <c r="S9" s="93"/>
      <c r="T9" s="93"/>
      <c r="U9" s="93"/>
      <c r="V9" s="105">
        <f t="shared" si="1"/>
        <v>9105538</v>
      </c>
      <c r="W9" s="105"/>
      <c r="X9" s="105"/>
      <c r="Y9" s="105">
        <f t="shared" si="2"/>
        <v>9484628</v>
      </c>
    </row>
    <row r="10" spans="1:25" s="52" customFormat="1" ht="33.75" customHeight="1" x14ac:dyDescent="0.25">
      <c r="A10" s="11" t="s">
        <v>8</v>
      </c>
      <c r="B10" s="125" t="s">
        <v>93</v>
      </c>
      <c r="C10" s="734" t="s">
        <v>255</v>
      </c>
      <c r="D10" s="93"/>
      <c r="E10" s="93"/>
      <c r="F10" s="93"/>
      <c r="G10" s="93"/>
      <c r="H10" s="93">
        <f>18000000+4860000</f>
        <v>22860000</v>
      </c>
      <c r="I10" s="93">
        <f>H10</f>
        <v>22860000</v>
      </c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105">
        <f t="shared" si="1"/>
        <v>22860000</v>
      </c>
      <c r="W10" s="105"/>
      <c r="X10" s="105"/>
      <c r="Y10" s="105">
        <f t="shared" si="2"/>
        <v>22860000</v>
      </c>
    </row>
    <row r="11" spans="1:25" s="52" customFormat="1" ht="33.75" customHeight="1" x14ac:dyDescent="0.25">
      <c r="A11" s="11" t="s">
        <v>22</v>
      </c>
      <c r="B11" s="125" t="s">
        <v>93</v>
      </c>
      <c r="C11" s="734" t="s">
        <v>256</v>
      </c>
      <c r="D11" s="93">
        <f>SUM(11730000+3770000+800000)</f>
        <v>16300000</v>
      </c>
      <c r="E11" s="93">
        <f>D11</f>
        <v>16300000</v>
      </c>
      <c r="F11" s="93">
        <f>SUM(1818150+584350+216000)</f>
        <v>2618500</v>
      </c>
      <c r="G11" s="93">
        <f>F11</f>
        <v>2618500</v>
      </c>
      <c r="H11" s="93">
        <f>SUM(800000+800000+500000+800000+783000)</f>
        <v>3683000</v>
      </c>
      <c r="I11" s="93">
        <f>H11</f>
        <v>3683000</v>
      </c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105">
        <f t="shared" si="1"/>
        <v>22601500</v>
      </c>
      <c r="W11" s="105"/>
      <c r="X11" s="105"/>
      <c r="Y11" s="105">
        <f t="shared" si="2"/>
        <v>22601500</v>
      </c>
    </row>
    <row r="12" spans="1:25" s="52" customFormat="1" ht="33.75" customHeight="1" x14ac:dyDescent="0.25">
      <c r="A12" s="11" t="s">
        <v>24</v>
      </c>
      <c r="B12" s="125" t="s">
        <v>93</v>
      </c>
      <c r="C12" s="734" t="s">
        <v>257</v>
      </c>
      <c r="D12" s="93"/>
      <c r="E12" s="93"/>
      <c r="F12" s="93"/>
      <c r="G12" s="93"/>
      <c r="H12" s="93">
        <f>3200000+864000</f>
        <v>4064000</v>
      </c>
      <c r="I12" s="93">
        <f>H12</f>
        <v>4064000</v>
      </c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105">
        <f t="shared" si="1"/>
        <v>4064000</v>
      </c>
      <c r="W12" s="105"/>
      <c r="X12" s="105"/>
      <c r="Y12" s="105">
        <f t="shared" si="2"/>
        <v>4064000</v>
      </c>
    </row>
    <row r="13" spans="1:25" x14ac:dyDescent="0.25">
      <c r="A13" s="11" t="s">
        <v>25</v>
      </c>
      <c r="B13" s="23"/>
      <c r="C13" s="109" t="s">
        <v>108</v>
      </c>
      <c r="D13" s="7">
        <f>SUM(D7:D12)</f>
        <v>100950377</v>
      </c>
      <c r="E13" s="7">
        <f t="shared" ref="E13:Y13" si="3">SUM(E7:E12)</f>
        <v>100995770</v>
      </c>
      <c r="F13" s="7">
        <f t="shared" si="3"/>
        <v>15686298</v>
      </c>
      <c r="G13" s="7">
        <f t="shared" si="3"/>
        <v>15686298</v>
      </c>
      <c r="H13" s="7">
        <f t="shared" si="3"/>
        <v>41660538</v>
      </c>
      <c r="I13" s="7">
        <f t="shared" si="3"/>
        <v>40160538</v>
      </c>
      <c r="J13" s="7">
        <f t="shared" si="3"/>
        <v>0</v>
      </c>
      <c r="K13" s="7">
        <f t="shared" si="3"/>
        <v>0</v>
      </c>
      <c r="L13" s="7">
        <f t="shared" si="3"/>
        <v>0</v>
      </c>
      <c r="M13" s="7">
        <f t="shared" si="3"/>
        <v>0</v>
      </c>
      <c r="N13" s="7">
        <f t="shared" si="3"/>
        <v>0</v>
      </c>
      <c r="O13" s="7">
        <f t="shared" si="3"/>
        <v>1879090</v>
      </c>
      <c r="P13" s="7">
        <f t="shared" si="3"/>
        <v>0</v>
      </c>
      <c r="Q13" s="7">
        <f t="shared" si="3"/>
        <v>0</v>
      </c>
      <c r="R13" s="7">
        <f t="shared" si="3"/>
        <v>0</v>
      </c>
      <c r="S13" s="7">
        <f t="shared" si="3"/>
        <v>0</v>
      </c>
      <c r="T13" s="7">
        <f t="shared" si="3"/>
        <v>0</v>
      </c>
      <c r="U13" s="7">
        <f t="shared" si="3"/>
        <v>0</v>
      </c>
      <c r="V13" s="7">
        <f t="shared" si="3"/>
        <v>158297213</v>
      </c>
      <c r="W13" s="7">
        <f t="shared" si="3"/>
        <v>97863568</v>
      </c>
      <c r="X13" s="7">
        <f t="shared" si="3"/>
        <v>13167798</v>
      </c>
      <c r="Y13" s="7">
        <f t="shared" si="3"/>
        <v>158721696</v>
      </c>
    </row>
    <row r="14" spans="1:25" x14ac:dyDescent="0.25">
      <c r="A14" s="11" t="s">
        <v>27</v>
      </c>
      <c r="B14" s="23"/>
      <c r="C14" s="23" t="s">
        <v>98</v>
      </c>
      <c r="D14" s="74">
        <f>SUMIF($B7:$B12,"kötelező",D7:D12)</f>
        <v>100950377</v>
      </c>
      <c r="E14" s="74">
        <f t="shared" ref="E14:Y14" si="4">SUMIF($B7:$B12,"kötelező",E7:E12)</f>
        <v>100995770</v>
      </c>
      <c r="F14" s="74">
        <f t="shared" si="4"/>
        <v>15686298</v>
      </c>
      <c r="G14" s="74">
        <f t="shared" si="4"/>
        <v>15686298</v>
      </c>
      <c r="H14" s="74">
        <f t="shared" si="4"/>
        <v>41660538</v>
      </c>
      <c r="I14" s="74">
        <f t="shared" si="4"/>
        <v>40160538</v>
      </c>
      <c r="J14" s="74">
        <f t="shared" si="4"/>
        <v>0</v>
      </c>
      <c r="K14" s="74">
        <f t="shared" si="4"/>
        <v>0</v>
      </c>
      <c r="L14" s="74">
        <f t="shared" si="4"/>
        <v>0</v>
      </c>
      <c r="M14" s="74">
        <f t="shared" si="4"/>
        <v>0</v>
      </c>
      <c r="N14" s="74">
        <f t="shared" si="4"/>
        <v>0</v>
      </c>
      <c r="O14" s="74">
        <f t="shared" si="4"/>
        <v>1879090</v>
      </c>
      <c r="P14" s="74">
        <f t="shared" si="4"/>
        <v>0</v>
      </c>
      <c r="Q14" s="74">
        <f t="shared" si="4"/>
        <v>0</v>
      </c>
      <c r="R14" s="74">
        <f t="shared" si="4"/>
        <v>0</v>
      </c>
      <c r="S14" s="74">
        <f t="shared" si="4"/>
        <v>0</v>
      </c>
      <c r="T14" s="74">
        <f t="shared" si="4"/>
        <v>0</v>
      </c>
      <c r="U14" s="74">
        <f t="shared" si="4"/>
        <v>0</v>
      </c>
      <c r="V14" s="74">
        <f t="shared" si="4"/>
        <v>158297213</v>
      </c>
      <c r="W14" s="74">
        <f t="shared" si="4"/>
        <v>97863568</v>
      </c>
      <c r="X14" s="74">
        <f t="shared" si="4"/>
        <v>13167798</v>
      </c>
      <c r="Y14" s="74">
        <f t="shared" si="4"/>
        <v>158721696</v>
      </c>
    </row>
    <row r="15" spans="1:25" x14ac:dyDescent="0.25">
      <c r="A15" s="11" t="s">
        <v>28</v>
      </c>
      <c r="B15" s="23"/>
      <c r="C15" s="23" t="s">
        <v>99</v>
      </c>
      <c r="D15" s="74">
        <f>SUMIF($B7:$B11,"nem kötelező",D7:D11)</f>
        <v>0</v>
      </c>
      <c r="E15" s="74">
        <f t="shared" ref="E15:Y15" si="5">SUMIF($B7:$B11,"nem kötelező",E7:E11)</f>
        <v>0</v>
      </c>
      <c r="F15" s="74">
        <f t="shared" si="5"/>
        <v>0</v>
      </c>
      <c r="G15" s="74">
        <f t="shared" si="5"/>
        <v>0</v>
      </c>
      <c r="H15" s="74">
        <f t="shared" si="5"/>
        <v>0</v>
      </c>
      <c r="I15" s="74">
        <f t="shared" si="5"/>
        <v>0</v>
      </c>
      <c r="J15" s="74">
        <f t="shared" si="5"/>
        <v>0</v>
      </c>
      <c r="K15" s="74">
        <f t="shared" si="5"/>
        <v>0</v>
      </c>
      <c r="L15" s="74">
        <f t="shared" si="5"/>
        <v>0</v>
      </c>
      <c r="M15" s="74">
        <f t="shared" si="5"/>
        <v>0</v>
      </c>
      <c r="N15" s="74">
        <f t="shared" si="5"/>
        <v>0</v>
      </c>
      <c r="O15" s="74">
        <f t="shared" si="5"/>
        <v>0</v>
      </c>
      <c r="P15" s="74">
        <f t="shared" si="5"/>
        <v>0</v>
      </c>
      <c r="Q15" s="74">
        <f t="shared" si="5"/>
        <v>0</v>
      </c>
      <c r="R15" s="74">
        <f t="shared" si="5"/>
        <v>0</v>
      </c>
      <c r="S15" s="74">
        <f t="shared" si="5"/>
        <v>0</v>
      </c>
      <c r="T15" s="74">
        <f t="shared" si="5"/>
        <v>0</v>
      </c>
      <c r="U15" s="74">
        <f t="shared" si="5"/>
        <v>0</v>
      </c>
      <c r="V15" s="74">
        <f t="shared" si="5"/>
        <v>0</v>
      </c>
      <c r="W15" s="74">
        <f t="shared" si="5"/>
        <v>0</v>
      </c>
      <c r="X15" s="74">
        <f t="shared" si="5"/>
        <v>0</v>
      </c>
      <c r="Y15" s="74">
        <f t="shared" si="5"/>
        <v>0</v>
      </c>
    </row>
    <row r="16" spans="1:25" x14ac:dyDescent="0.25">
      <c r="Y16" s="27"/>
    </row>
  </sheetData>
  <mergeCells count="21"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Y5"/>
    <mergeCell ref="C3:Y3"/>
    <mergeCell ref="D4:E4"/>
    <mergeCell ref="F4:G4"/>
    <mergeCell ref="H4:I4"/>
    <mergeCell ref="J4:K4"/>
    <mergeCell ref="V4:Y4"/>
    <mergeCell ref="L4:M4"/>
    <mergeCell ref="N4:O4"/>
    <mergeCell ref="P4:Q4"/>
    <mergeCell ref="R4:S4"/>
    <mergeCell ref="T4:U4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I9 F11 H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16</vt:i4>
      </vt:variant>
    </vt:vector>
  </HeadingPairs>
  <TitlesOfParts>
    <vt:vector size="39" baseType="lpstr">
      <vt:lpstr>1.melléklet.Önkormányzat</vt:lpstr>
      <vt:lpstr>2.melléklet.Önkormányzat.és int</vt:lpstr>
      <vt:lpstr>3.mellékletPH.bev.</vt:lpstr>
      <vt:lpstr>4 ESZI bev</vt:lpstr>
      <vt:lpstr>5. Óvoda bev</vt:lpstr>
      <vt:lpstr>6.melléklet.Kiadások.Önk.</vt:lpstr>
      <vt:lpstr>7.PMH kiad</vt:lpstr>
      <vt:lpstr>8.ESZI kiad</vt:lpstr>
      <vt:lpstr>9. Óvoda kiad</vt:lpstr>
      <vt:lpstr>10.melléklet.létszám</vt:lpstr>
      <vt:lpstr>11.melléklet.Beruházás</vt:lpstr>
      <vt:lpstr>12.melléklet.Int.pénzellát.</vt:lpstr>
      <vt:lpstr>13.melléklet.pénzeszköz át.</vt:lpstr>
      <vt:lpstr>14.melléklet.ált.,céltartalék</vt:lpstr>
      <vt:lpstr>15. melléklet</vt:lpstr>
      <vt:lpstr>16.melléklet.több éves</vt:lpstr>
      <vt:lpstr>17.melléklet.felhaszn.ütemterve</vt:lpstr>
      <vt:lpstr>18.melléklet.EU-s</vt:lpstr>
      <vt:lpstr>19.melléklet.kedvezm.</vt:lpstr>
      <vt:lpstr>20.melléklet.4.éves pénzforg.</vt:lpstr>
      <vt:lpstr>21 melléklet</vt:lpstr>
      <vt:lpstr>22.melléklet.saját.bev</vt:lpstr>
      <vt:lpstr>23.melléklet.likv.terv</vt:lpstr>
      <vt:lpstr>'10.melléklet.létszám'!Nyomtatási_terület</vt:lpstr>
      <vt:lpstr>'11.melléklet.Beruházás'!Nyomtatási_terület</vt:lpstr>
      <vt:lpstr>'12.melléklet.Int.pénzellát.'!Nyomtatási_terület</vt:lpstr>
      <vt:lpstr>'13.melléklet.pénzeszköz át.'!Nyomtatási_terület</vt:lpstr>
      <vt:lpstr>'14.melléklet.ált.,céltartalék'!Nyomtatási_terület</vt:lpstr>
      <vt:lpstr>'15. melléklet'!Nyomtatási_terület</vt:lpstr>
      <vt:lpstr>'16.melléklet.több éves'!Nyomtatási_terület</vt:lpstr>
      <vt:lpstr>'17.melléklet.felhaszn.ütemterve'!Nyomtatási_terület</vt:lpstr>
      <vt:lpstr>'18.melléklet.EU-s'!Nyomtatási_terület</vt:lpstr>
      <vt:lpstr>'19.melléklet.kedvezm.'!Nyomtatási_terület</vt:lpstr>
      <vt:lpstr>'2.melléklet.Önkormányzat.és int'!Nyomtatási_terület</vt:lpstr>
      <vt:lpstr>'20.melléklet.4.éves pénzforg.'!Nyomtatási_terület</vt:lpstr>
      <vt:lpstr>'21 melléklet'!Nyomtatási_terület</vt:lpstr>
      <vt:lpstr>'22.melléklet.saját.bev'!Nyomtatási_terület</vt:lpstr>
      <vt:lpstr>'23.melléklet.likv.terv'!Nyomtatási_terület</vt:lpstr>
      <vt:lpstr>'9. Óvoda kiad'!Nyomtatási_terület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2021-06-25T09:07:39Z</dcterms:modified>
</cp:coreProperties>
</file>